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4D45FE42-62A7-4E8B-A9E9-191B75A843E3}" xr6:coauthVersionLast="47" xr6:coauthVersionMax="47" xr10:uidLastSave="{00000000-0000-0000-0000-000000000000}"/>
  <bookViews>
    <workbookView xWindow="-120" yWindow="-120" windowWidth="38640" windowHeight="15840" activeTab="9" xr2:uid="{8ADEA2FE-7CD1-466B-8EB5-9AA2577FE19A}"/>
  </bookViews>
  <sheets>
    <sheet name="鍵盤圖" sheetId="6" r:id="rId1"/>
    <sheet name="RIME對映編碼" sheetId="2" r:id="rId2"/>
    <sheet name="RIME解析(BoPoMoFo)" sheetId="16" state="hidden" r:id="rId3"/>
    <sheet name="RIME對映編碼 (BoPoMoFo)" sheetId="15" state="hidden" r:id="rId4"/>
    <sheet name="RIME對映編碼 (萌台語)" sheetId="14" state="hidden" r:id="rId5"/>
    <sheet name="RIME對映編碼 (台語方音)" sheetId="11" state="hidden" r:id="rId6"/>
    <sheet name="RIME對映編碼 (注音符號)" sheetId="10" state="hidden" r:id="rId7"/>
    <sheet name="RIME對映編碼 (注音符號V2)" sheetId="12" state="hidden" r:id="rId8"/>
    <sheet name="RIME對映編碼 (台語方音V3)" sheetId="13" state="hidden" r:id="rId9"/>
    <sheet name="注音符號字典編碼" sheetId="17" r:id="rId10"/>
    <sheet name="RIME對映編碼 (原設計)" sheetId="9" state="hidden" r:id="rId11"/>
    <sheet name="工作表2" sheetId="8" r:id="rId12"/>
    <sheet name="RIME指令 (與漢字拼音相容版)" sheetId="5" r:id="rId13"/>
    <sheet name="聲母發音表" sheetId="4" r:id="rId14"/>
  </sheets>
  <externalReferences>
    <externalReference r:id="rId15"/>
  </externalReferences>
  <definedNames>
    <definedName name="_xlnm._FilterDatabase" localSheetId="9" hidden="1">注音符號字典編碼!$I$4:$L$59</definedName>
    <definedName name="方音符號" localSheetId="2">'RIME解析(BoPoMoFo)'!$W$3:$W$57</definedName>
    <definedName name="方音符號" localSheetId="5">'RIME對映編碼 (台語方音)'!$T$3:$T$44</definedName>
    <definedName name="方音符號" localSheetId="8">'RIME對映編碼 (台語方音V3)'!$T$3:$T$44</definedName>
    <definedName name="方音符號" localSheetId="6">'RIME對映編碼 (注音符號)'!$T$3:$T$44</definedName>
    <definedName name="方音符號" localSheetId="7">'RIME對映編碼 (注音符號V2)'!$T$3:$T$44</definedName>
    <definedName name="方音符號" localSheetId="10">'RIME對映編碼 (原設計)'!$X$3:$X$47</definedName>
    <definedName name="方音符號" localSheetId="4">'RIME對映編碼 (萌台語)'!$T$3:$T$57</definedName>
    <definedName name="字典編碼">RIME對映編碼!$BE$9:$BE$55</definedName>
    <definedName name="注音符號">RIME對映編碼!$BC$9:$BC$55</definedName>
    <definedName name="拼音字母" localSheetId="2">'RIME解析(BoPoMoFo)'!#REF!</definedName>
    <definedName name="拼音字母" localSheetId="5">'RIME對映編碼 (台語方音)'!#REF!</definedName>
    <definedName name="拼音字母" localSheetId="8">'RIME對映編碼 (台語方音V3)'!#REF!</definedName>
    <definedName name="拼音字母" localSheetId="6">'RIME對映編碼 (注音符號)'!#REF!</definedName>
    <definedName name="拼音字母" localSheetId="7">'RIME對映編碼 (注音符號V2)'!#REF!</definedName>
    <definedName name="拼音字母" localSheetId="10">'RIME對映編碼 (原設計)'!$Y$3:$Y$47</definedName>
    <definedName name="拼音字母" localSheetId="4">'RIME對映編碼 (萌台語)'!#REF!</definedName>
    <definedName name="拼音字母">RIME對映編碼!$BD$9:$BD$55</definedName>
    <definedName name="按鍵編碼" localSheetId="2">'RIME解析(BoPoMoFo)'!$U$3:$U$57</definedName>
    <definedName name="按鍵編碼" localSheetId="5">'RIME對映編碼 (台語方音)'!$S$3:$S$44</definedName>
    <definedName name="按鍵編碼" localSheetId="8">'RIME對映編碼 (台語方音V3)'!$S$3:$S$44</definedName>
    <definedName name="按鍵編碼" localSheetId="6">'RIME對映編碼 (注音符號)'!$S$3:$S$44</definedName>
    <definedName name="按鍵編碼" localSheetId="7">'RIME對映編碼 (注音符號V2)'!$S$3:$S$44</definedName>
    <definedName name="按鍵編碼" localSheetId="10">'RIME對映編碼 (原設計)'!$Z$3:$Z$47</definedName>
    <definedName name="按鍵編碼" localSheetId="4">'RIME對映編碼 (萌台語)'!$S$3:$S$57</definedName>
    <definedName name="國際音標" localSheetId="2">'RIME解析(BoPoMoFo)'!#REF!</definedName>
    <definedName name="國際音標" localSheetId="5">'RIME對映編碼 (台語方音)'!#REF!</definedName>
    <definedName name="國際音標" localSheetId="8">'RIME對映編碼 (台語方音V3)'!#REF!</definedName>
    <definedName name="國際音標" localSheetId="6">'RIME對映編碼 (注音符號)'!#REF!</definedName>
    <definedName name="國際音標" localSheetId="7">'RIME對映編碼 (注音符號V2)'!#REF!</definedName>
    <definedName name="國際音標" localSheetId="10">'RIME對映編碼 (原設計)'!$AA$3:$AA$47</definedName>
    <definedName name="國際音標" localSheetId="4">'RIME對映編碼 (萌台語)'!#REF!</definedName>
    <definedName name="鍵盤位置" localSheetId="2">'RIME解析(BoPoMoFo)'!$T$3:$T$57</definedName>
    <definedName name="鍵盤位置" localSheetId="5">'RIME對映編碼 (台語方音)'!$R$3:$R$44</definedName>
    <definedName name="鍵盤位置" localSheetId="8">'RIME對映編碼 (台語方音V3)'!$R$3:$R$44</definedName>
    <definedName name="鍵盤位置" localSheetId="6">'RIME對映編碼 (注音符號)'!$R$3:$R$44</definedName>
    <definedName name="鍵盤位置" localSheetId="7">'RIME對映編碼 (注音符號V2)'!$R$3:$R$44</definedName>
    <definedName name="鍵盤位置" localSheetId="10">'RIME對映編碼 (原設計)'!$W$3:$W$47</definedName>
    <definedName name="鍵盤位置" localSheetId="4">'RIME對映編碼 (萌台語)'!$R$3:$R$57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17" l="1"/>
  <c r="Z6" i="17"/>
  <c r="AA2" i="17"/>
  <c r="T48" i="17"/>
  <c r="T43" i="17"/>
  <c r="T44" i="17"/>
  <c r="T45" i="17"/>
  <c r="T46" i="17"/>
  <c r="T47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5" i="17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D2" i="2"/>
  <c r="BI9" i="2"/>
  <c r="BJ9" i="2"/>
  <c r="BJ10" i="2"/>
  <c r="BJ11" i="2"/>
  <c r="BJ63" i="2"/>
  <c r="BK63" i="2"/>
  <c r="BJ59" i="2"/>
  <c r="BK59" i="2"/>
  <c r="BJ60" i="2"/>
  <c r="BK60" i="2"/>
  <c r="BJ61" i="2"/>
  <c r="BK61" i="2"/>
  <c r="BJ62" i="2"/>
  <c r="BK62" i="2"/>
  <c r="BK11" i="2"/>
  <c r="BJ13" i="2"/>
  <c r="BK13" i="2"/>
  <c r="BK15" i="2"/>
  <c r="BJ17" i="2"/>
  <c r="BK17" i="2"/>
  <c r="BK19" i="2"/>
  <c r="BJ21" i="2"/>
  <c r="BK21" i="2"/>
  <c r="BK23" i="2"/>
  <c r="BJ25" i="2"/>
  <c r="BK25" i="2"/>
  <c r="BK27" i="2"/>
  <c r="BJ29" i="2"/>
  <c r="BK29" i="2"/>
  <c r="BK31" i="2"/>
  <c r="BJ33" i="2"/>
  <c r="BK33" i="2"/>
  <c r="BK35" i="2"/>
  <c r="BJ37" i="2"/>
  <c r="BK37" i="2"/>
  <c r="BK39" i="2"/>
  <c r="BJ41" i="2"/>
  <c r="BK41" i="2"/>
  <c r="BK43" i="2"/>
  <c r="BJ45" i="2"/>
  <c r="BK45" i="2"/>
  <c r="BK47" i="2"/>
  <c r="BJ49" i="2"/>
  <c r="BK49" i="2"/>
  <c r="BK51" i="2"/>
  <c r="BJ53" i="2"/>
  <c r="BK53" i="2"/>
  <c r="BK55" i="2"/>
  <c r="BJ57" i="2"/>
  <c r="BK57" i="2"/>
  <c r="BK9" i="2"/>
  <c r="R59" i="17"/>
  <c r="Q59" i="17"/>
  <c r="R58" i="17"/>
  <c r="Q58" i="17"/>
  <c r="R57" i="17"/>
  <c r="Q57" i="17"/>
  <c r="R56" i="17"/>
  <c r="Q56" i="17"/>
  <c r="R55" i="17"/>
  <c r="Q55" i="17"/>
  <c r="R54" i="17"/>
  <c r="Q54" i="17"/>
  <c r="R53" i="17"/>
  <c r="Q53" i="17"/>
  <c r="R52" i="17"/>
  <c r="Q52" i="17"/>
  <c r="R51" i="17"/>
  <c r="Q51" i="17"/>
  <c r="R50" i="17"/>
  <c r="Q50" i="17"/>
  <c r="R49" i="17"/>
  <c r="Q49" i="17"/>
  <c r="R48" i="17"/>
  <c r="Q48" i="17"/>
  <c r="R47" i="17"/>
  <c r="Q47" i="17"/>
  <c r="R46" i="17"/>
  <c r="Q46" i="17"/>
  <c r="R45" i="17"/>
  <c r="Q45" i="17"/>
  <c r="R44" i="17"/>
  <c r="Q44" i="17"/>
  <c r="R43" i="17"/>
  <c r="Q43" i="17"/>
  <c r="R42" i="17"/>
  <c r="Q42" i="17"/>
  <c r="R41" i="17"/>
  <c r="Q41" i="17"/>
  <c r="R40" i="17"/>
  <c r="Q40" i="17"/>
  <c r="R38" i="17"/>
  <c r="Q38" i="17"/>
  <c r="R35" i="17"/>
  <c r="Q35" i="17"/>
  <c r="R32" i="17"/>
  <c r="Q32" i="17"/>
  <c r="R29" i="17"/>
  <c r="Q29" i="17"/>
  <c r="R28" i="17"/>
  <c r="Q28" i="17"/>
  <c r="R27" i="17"/>
  <c r="Q27" i="17"/>
  <c r="R25" i="17"/>
  <c r="Q25" i="17"/>
  <c r="R24" i="17"/>
  <c r="Q24" i="17"/>
  <c r="R23" i="17"/>
  <c r="Q23" i="17"/>
  <c r="R22" i="17"/>
  <c r="Q22" i="17"/>
  <c r="R21" i="17"/>
  <c r="Q21" i="17"/>
  <c r="R20" i="17"/>
  <c r="Q20" i="17"/>
  <c r="R19" i="17"/>
  <c r="Q19" i="17"/>
  <c r="R18" i="17"/>
  <c r="Q18" i="17"/>
  <c r="R17" i="17"/>
  <c r="Q17" i="17"/>
  <c r="R16" i="17"/>
  <c r="Q16" i="17"/>
  <c r="R15" i="17"/>
  <c r="Q15" i="17"/>
  <c r="R13" i="17"/>
  <c r="Q13" i="17"/>
  <c r="R12" i="17"/>
  <c r="Q12" i="17"/>
  <c r="R11" i="17"/>
  <c r="Q11" i="17"/>
  <c r="R10" i="17"/>
  <c r="Q10" i="17"/>
  <c r="R9" i="17"/>
  <c r="Q9" i="17"/>
  <c r="R8" i="17"/>
  <c r="Q8" i="17"/>
  <c r="R7" i="17"/>
  <c r="Q7" i="17"/>
  <c r="R6" i="17"/>
  <c r="Q6" i="17"/>
  <c r="P39" i="17"/>
  <c r="Q39" i="17" s="1"/>
  <c r="P37" i="17"/>
  <c r="R37" i="17" s="1"/>
  <c r="P36" i="17"/>
  <c r="Q36" i="17" s="1"/>
  <c r="P34" i="17"/>
  <c r="Q34" i="17" s="1"/>
  <c r="P33" i="17"/>
  <c r="R33" i="17" s="1"/>
  <c r="P31" i="17"/>
  <c r="R31" i="17" s="1"/>
  <c r="P30" i="17"/>
  <c r="Q30" i="17" s="1"/>
  <c r="P26" i="17"/>
  <c r="Q26" i="17" s="1"/>
  <c r="P14" i="17"/>
  <c r="Q14" i="17" s="1"/>
  <c r="P5" i="17"/>
  <c r="Q5" i="17" s="1"/>
  <c r="N6" i="17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U5" i="17" a="1"/>
  <c r="U5" i="17" s="1"/>
  <c r="H6" i="17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D25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D31" i="2"/>
  <c r="D32" i="2"/>
  <c r="AI26" i="2" s="1"/>
  <c r="D26" i="2"/>
  <c r="D25" i="2"/>
  <c r="AI25" i="2"/>
  <c r="BJ58" i="2"/>
  <c r="BJ56" i="2"/>
  <c r="BJ55" i="2"/>
  <c r="BJ54" i="2"/>
  <c r="BJ52" i="2"/>
  <c r="BJ51" i="2"/>
  <c r="BJ50" i="2"/>
  <c r="BJ48" i="2"/>
  <c r="BJ47" i="2"/>
  <c r="BJ46" i="2"/>
  <c r="BJ44" i="2"/>
  <c r="BJ43" i="2"/>
  <c r="BJ42" i="2"/>
  <c r="BJ40" i="2"/>
  <c r="BJ39" i="2"/>
  <c r="BJ38" i="2"/>
  <c r="BJ36" i="2"/>
  <c r="BJ35" i="2"/>
  <c r="BJ34" i="2"/>
  <c r="BJ32" i="2"/>
  <c r="BJ31" i="2"/>
  <c r="BJ30" i="2"/>
  <c r="BJ28" i="2"/>
  <c r="BJ27" i="2"/>
  <c r="BJ26" i="2"/>
  <c r="BJ24" i="2"/>
  <c r="BJ23" i="2"/>
  <c r="BJ22" i="2"/>
  <c r="BJ20" i="2"/>
  <c r="BJ19" i="2"/>
  <c r="BJ18" i="2"/>
  <c r="BJ16" i="2"/>
  <c r="BJ15" i="2"/>
  <c r="BJ14" i="2"/>
  <c r="BJ12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O4" i="15" a="1"/>
  <c r="W4" i="15" a="1"/>
  <c r="Z4" i="15" a="1"/>
  <c r="Z5" i="15" a="1"/>
  <c r="M4" i="15" a="1"/>
  <c r="AE5" i="15" a="1"/>
  <c r="AE4" i="15" a="1"/>
  <c r="V5" i="15" a="1"/>
  <c r="M6" i="15" a="1"/>
  <c r="AS6" i="15" a="1"/>
  <c r="AH4" i="15" a="1"/>
  <c r="Y5" i="15" a="1"/>
  <c r="P6" i="15" a="1"/>
  <c r="D4" i="15" a="1"/>
  <c r="P4" i="15" a="1"/>
  <c r="V6" i="15" a="1"/>
  <c r="Y4" i="15" a="1"/>
  <c r="P5" i="15" a="1"/>
  <c r="G6" i="15" a="1"/>
  <c r="AM6" i="15" a="1"/>
  <c r="AB4" i="15" a="1"/>
  <c r="S5" i="15" a="1"/>
  <c r="J6" i="15" a="1"/>
  <c r="AR6" i="15" a="1"/>
  <c r="AQ6" i="15" a="1"/>
  <c r="K4" i="15" a="1"/>
  <c r="AQ4" i="15" a="1"/>
  <c r="AH5" i="15" a="1"/>
  <c r="Y6" i="15" a="1"/>
  <c r="N4" i="15" a="1"/>
  <c r="E5" i="15" a="1"/>
  <c r="AK5" i="15" a="1"/>
  <c r="AD6" i="15" a="1"/>
  <c r="U4" i="15" a="1"/>
  <c r="AB5" i="15" a="1"/>
  <c r="X4" i="15" a="1"/>
  <c r="N6" i="15" a="1"/>
  <c r="I5" i="15" a="1"/>
  <c r="G5" i="15" a="1"/>
  <c r="AO4" i="15" a="1"/>
  <c r="L4" i="15" a="1"/>
  <c r="AI5" i="15" a="1"/>
  <c r="AJ5" i="15" a="1"/>
  <c r="AA4" i="15" a="1"/>
  <c r="I6" i="15" a="1"/>
  <c r="AD4" i="15" a="1"/>
  <c r="L6" i="15" a="1"/>
  <c r="L5" i="15" a="1"/>
  <c r="O5" i="15" a="1"/>
  <c r="N5" i="15" a="1"/>
  <c r="AK6" i="15" a="1"/>
  <c r="H6" i="15" a="1"/>
  <c r="AI6" i="15" a="1"/>
  <c r="Q4" i="15" a="1"/>
  <c r="AN5" i="15" a="1"/>
  <c r="AE6" i="15" a="1"/>
  <c r="K5" i="15" a="1"/>
  <c r="AJ6" i="15" a="1"/>
  <c r="AF6" i="15" a="1"/>
  <c r="Q6" i="15" a="1"/>
  <c r="AL4" i="15" a="1"/>
  <c r="T6" i="15" a="1"/>
  <c r="H4" i="15" a="1"/>
  <c r="G4" i="15" a="1"/>
  <c r="AM4" i="15" a="1"/>
  <c r="AD5" i="15" a="1"/>
  <c r="U6" i="15" a="1"/>
  <c r="J4" i="15" a="1"/>
  <c r="AP4" i="15" a="1"/>
  <c r="AG5" i="15" a="1"/>
  <c r="X6" i="15" a="1"/>
  <c r="AC4" i="15" a="1"/>
  <c r="AF4" i="15" a="1"/>
  <c r="D5" i="15" a="1"/>
  <c r="AG4" i="15" a="1"/>
  <c r="X5" i="15" a="1"/>
  <c r="O6" i="15" a="1"/>
  <c r="AB6" i="15" a="1"/>
  <c r="AJ4" i="15" a="1"/>
  <c r="AA5" i="15" a="1"/>
  <c r="R6" i="15" a="1"/>
  <c r="AS4" i="15" a="1"/>
  <c r="W5" i="15" a="1"/>
  <c r="S4" i="15" a="1"/>
  <c r="J5" i="15" a="1"/>
  <c r="AP5" i="15" a="1"/>
  <c r="AG6" i="15" a="1"/>
  <c r="V4" i="15" a="1"/>
  <c r="M5" i="15" a="1"/>
  <c r="AS5" i="15" a="1"/>
  <c r="AL6" i="15" a="1"/>
  <c r="AK4" i="15" a="1"/>
  <c r="AR5" i="15" a="1"/>
  <c r="AN4" i="15" a="1"/>
  <c r="AN6" i="15" a="1"/>
  <c r="F5" i="15" a="1"/>
  <c r="AL5" i="15" a="1"/>
  <c r="AC6" i="15" a="1"/>
  <c r="R4" i="15" a="1"/>
  <c r="AO5" i="15" a="1"/>
  <c r="AH6" i="15" a="1"/>
  <c r="K6" i="15" a="1"/>
  <c r="I4" i="15" a="1"/>
  <c r="AF5" i="15" a="1"/>
  <c r="W6" i="15" a="1"/>
  <c r="AR4" i="15" a="1"/>
  <c r="Z6" i="15" a="1"/>
  <c r="F6" i="15" a="1"/>
  <c r="R5" i="15" a="1"/>
  <c r="AO6" i="15" a="1"/>
  <c r="U5" i="15" a="1"/>
  <c r="D6" i="15" a="1"/>
  <c r="AA6" i="15" a="1"/>
  <c r="E4" i="15" a="1"/>
  <c r="E6" i="15" a="1"/>
  <c r="Q5" i="15" a="1"/>
  <c r="AP6" i="15" a="1"/>
  <c r="AM5" i="15" a="1"/>
  <c r="H5" i="15" a="1"/>
  <c r="T4" i="15" a="1"/>
  <c r="AQ5" i="15" a="1"/>
  <c r="S6" i="15" a="1"/>
  <c r="AI4" i="15" a="1"/>
  <c r="F4" i="15" a="1"/>
  <c r="AC5" i="15" a="1"/>
  <c r="T5" i="15" a="1"/>
  <c r="R34" i="17" l="1"/>
  <c r="R30" i="17"/>
  <c r="R26" i="17"/>
  <c r="BK58" i="2"/>
  <c r="BK56" i="2"/>
  <c r="BK54" i="2"/>
  <c r="BK52" i="2"/>
  <c r="BK50" i="2"/>
  <c r="BK48" i="2"/>
  <c r="BK46" i="2"/>
  <c r="BK44" i="2"/>
  <c r="BK42" i="2"/>
  <c r="BK40" i="2"/>
  <c r="BK38" i="2"/>
  <c r="BK36" i="2"/>
  <c r="BK34" i="2"/>
  <c r="BK32" i="2"/>
  <c r="BK30" i="2"/>
  <c r="BK28" i="2"/>
  <c r="BK26" i="2"/>
  <c r="BK24" i="2"/>
  <c r="BK22" i="2"/>
  <c r="BK20" i="2"/>
  <c r="BK18" i="2"/>
  <c r="BK16" i="2"/>
  <c r="BK14" i="2"/>
  <c r="BK12" i="2"/>
  <c r="BK10" i="2"/>
  <c r="Q37" i="17"/>
  <c r="Q31" i="17"/>
  <c r="R36" i="17"/>
  <c r="Q33" i="17"/>
  <c r="R5" i="17"/>
  <c r="R39" i="17"/>
  <c r="R14" i="17"/>
  <c r="B60" i="17"/>
  <c r="BK12" i="15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AJ9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A24" i="14"/>
  <c r="A26" i="14" s="1"/>
  <c r="B26" i="14" s="1"/>
  <c r="A4" i="14"/>
  <c r="A14" i="14"/>
  <c r="A16" i="14" s="1"/>
  <c r="A15" i="14"/>
  <c r="D19" i="2"/>
  <c r="AK19" i="2" s="1"/>
  <c r="AJ20" i="2" s="1"/>
  <c r="C25" i="2"/>
  <c r="C26" i="2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U33" i="17" l="1" a="1"/>
  <c r="D32" i="15"/>
  <c r="D31" i="15"/>
  <c r="C31" i="15" s="1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U33" i="17" l="1"/>
  <c r="Z15" i="17"/>
  <c r="Z11" i="17"/>
  <c r="Z14" i="17"/>
  <c r="W47" i="16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C20" i="5"/>
  <c r="B28" i="5"/>
  <c r="C11" i="5"/>
  <c r="C28" i="5"/>
  <c r="C27" i="5"/>
  <c r="C12" i="5"/>
  <c r="C19" i="5"/>
  <c r="AA1" i="17" l="1"/>
  <c r="AC13" i="17"/>
  <c r="AC5" i="17"/>
  <c r="Z10" i="17"/>
  <c r="AC9" i="17" s="1"/>
  <c r="V43" i="16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B31" i="5"/>
  <c r="C32" i="15" l="1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E4" i="13" l="1"/>
  <c r="AO5" i="13" s="1"/>
  <c r="AU4" i="13"/>
  <c r="AT5" i="13" s="1"/>
  <c r="AF3" i="13"/>
  <c r="AE9" i="13"/>
  <c r="AF8" i="13"/>
  <c r="AF12" i="13"/>
  <c r="AE9" i="11"/>
  <c r="AE10" i="11"/>
  <c r="AF4" i="11"/>
  <c r="AF8" i="11" l="1"/>
  <c r="AT14" i="11"/>
  <c r="AF12" i="11"/>
  <c r="AF3" i="11" l="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AT10" i="11"/>
  <c r="AU9" i="11"/>
  <c r="AT9" i="11"/>
  <c r="AT10" i="13"/>
  <c r="AU9" i="13"/>
  <c r="AT9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<sst xmlns="http://schemas.openxmlformats.org/spreadsheetml/2006/main" count="2921" uniqueCount="935">
  <si>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</si>
  <si>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</si>
  <si>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</si>
  <si>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</si>
  <si>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</si>
  <si>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</si>
  <si>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</si>
  <si>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</si>
  <si>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</si>
  <si>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</si>
  <si>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</si>
  <si>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</si>
  <si>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</si>
  <si>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</si>
  <si>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</si>
  <si>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</si>
  <si>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</si>
  <si>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</si>
  <si>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</si>
  <si>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</si>
  <si>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</si>
  <si>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</si>
  <si>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</si>
  <si>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</si>
  <si>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</si>
  <si>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</si>
  <si>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</si>
  <si>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</si>
  <si>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</si>
  <si>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</si>
  <si>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</si>
  <si>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</si>
  <si>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</si>
  <si>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</si>
  <si>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</si>
  <si>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</si>
  <si>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</si>
  <si>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</si>
  <si>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</si>
  <si>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</si>
  <si>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</si>
  <si>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</si>
  <si>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</si>
  <si>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</si>
  <si>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</si>
  <si>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</si>
  <si>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</si>
  <si>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</si>
  <si>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</si>
  <si>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</si>
  <si>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</si>
  <si>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</si>
  <si>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</si>
  <si>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</si>
  <si>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</si>
  <si>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</si>
  <si>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</si>
  <si>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</si>
  <si>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</si>
  <si>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</si>
  <si>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</si>
  <si>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</si>
  <si>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</si>
  <si>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</si>
  <si>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</si>
  <si>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</si>
  <si>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</si>
  <si>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</si>
  <si>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</si>
  <si>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</si>
  <si>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</si>
  <si>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</si>
  <si>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</si>
  <si>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</si>
  <si>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</si>
  <si>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</si>
  <si>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</si>
  <si>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</si>
  <si>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</si>
  <si>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</si>
  <si>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</si>
  <si>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</si>
  <si>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</si>
  <si>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</si>
  <si>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</si>
  <si>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</si>
  <si>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</si>
  <si>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</si>
  <si>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</si>
  <si>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</si>
  <si>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</si>
  <si>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</si>
  <si>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</si>
  <si>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</si>
  <si>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</si>
  <si>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</si>
  <si>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</si>
  <si>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</si>
  <si>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</si>
  <si>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</si>
  <si>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</si>
  <si>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</si>
  <si>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</si>
  <si>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</si>
  <si>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</si>
  <si>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</si>
  <si>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</si>
  <si>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</si>
  <si>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</si>
  <si>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</si>
  <si>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</si>
  <si>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</si>
  <si>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</si>
  <si>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</si>
  <si>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</si>
  <si>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</si>
  <si>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</si>
  <si>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</si>
  <si>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</si>
  <si>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</si>
  <si>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</si>
  <si>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</si>
  <si>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</si>
  <si>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</si>
  <si>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</si>
  <si>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</si>
  <si>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</si>
  <si>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</si>
  <si>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</si>
  <si>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</si>
  <si>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</si>
  <si>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</si>
  <si>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</si>
  <si>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</si>
  <si>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</si>
  <si>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</si>
  <si>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</si>
  <si>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</si>
  <si>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</si>
  <si>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</si>
  <si>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</si>
  <si>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</si>
  <si>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</si>
  <si>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</si>
  <si>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</si>
  <si>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</si>
  <si>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</si>
  <si>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</si>
  <si>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</si>
  <si>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</si>
  <si>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</si>
  <si>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</si>
  <si>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</si>
  <si>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</si>
  <si>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</si>
  <si>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</si>
  <si>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</si>
  <si>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</si>
  <si>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</si>
  <si>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</si>
  <si>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</si>
  <si>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</si>
  <si>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</si>
  <si>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</si>
  <si>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</si>
  <si>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</si>
  <si>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</si>
  <si>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</si>
  <si>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</si>
  <si>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</si>
  <si>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</si>
  <si>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</si>
  <si>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</si>
  <si>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</si>
  <si>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</si>
  <si>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</si>
  <si>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</si>
  <si>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</si>
  <si>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</si>
  <si>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</si>
  <si>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</si>
  <si>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</si>
  <si>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</si>
  <si>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</si>
  <si>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</si>
  <si>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</si>
  <si>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</si>
  <si>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</si>
  <si>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</si>
  <si>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</si>
  <si>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</si>
  <si>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</si>
  <si>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</si>
  <si>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</si>
  <si>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</si>
  <si>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</si>
  <si>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</si>
  <si>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</si>
  <si>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</si>
  <si>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</si>
  <si>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</si>
  <si>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</si>
  <si>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</si>
  <si>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</si>
  <si>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</si>
  <si>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</si>
  <si>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</si>
  <si>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</si>
  <si>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</si>
  <si>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</si>
  <si>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</si>
  <si>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</si>
  <si>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</si>
  <si>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</si>
  <si>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</si>
  <si>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</si>
  <si>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</si>
  <si>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</si>
  <si>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</si>
  <si>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</si>
  <si>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</si>
  <si>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</si>
  <si>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</si>
  <si>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</si>
  <si>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</si>
  <si>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</si>
  <si>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</si>
  <si>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</si>
  <si>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</si>
  <si>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</si>
  <si>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</si>
  <si>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</si>
  <si>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</si>
  <si>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</si>
  <si>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</si>
  <si>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</si>
  <si>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</si>
  <si>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</si>
  <si>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</si>
  <si>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</si>
  <si>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</si>
  <si>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</si>
  <si>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</si>
  <si>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</si>
  <si>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</si>
  <si>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</si>
  <si>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</si>
  <si>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</si>
  <si>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</si>
  <si>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</si>
  <si>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</si>
  <si>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</si>
  <si>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</si>
  <si>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</si>
  <si>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</si>
  <si>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</si>
  <si>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</si>
  <si>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</si>
  <si>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</si>
  <si>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</si>
  <si>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</si>
  <si>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</si>
  <si>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</si>
  <si>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</si>
  <si>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</si>
  <si>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</si>
  <si>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</si>
  <si>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</si>
  <si>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</si>
  <si>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</si>
  <si>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</si>
  <si>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</si>
  <si>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</si>
  <si>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</si>
  <si>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</si>
  <si>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</si>
  <si>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</si>
  <si>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</si>
  <si>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</si>
  <si>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</si>
  <si>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</si>
  <si>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</si>
  <si>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</si>
  <si>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</si>
  <si>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</si>
  <si>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</si>
  <si>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</si>
  <si>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</si>
  <si>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</si>
  <si>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</si>
  <si>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</si>
  <si>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</si>
  <si>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</si>
  <si>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</si>
  <si>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</si>
  <si>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</si>
  <si>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</si>
  <si>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</si>
  <si>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</si>
  <si>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</si>
  <si>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</si>
  <si>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</si>
  <si>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</si>
  <si>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</si>
  <si>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</si>
  <si>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</si>
  <si>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</si>
  <si>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</si>
  <si>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</si>
  <si>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</si>
  <si>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</si>
  <si>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</si>
  <si>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</si>
  <si>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</si>
  <si>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</si>
  <si>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</si>
  <si>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</si>
  <si>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</si>
  <si>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</si>
  <si>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</si>
  <si>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</si>
  <si>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</si>
  <si>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</si>
  <si>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</si>
  <si>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</si>
  <si>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</si>
  <si>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</si>
  <si>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</si>
  <si>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</si>
  <si>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</si>
  <si>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</si>
  <si>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</si>
  <si>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</si>
  <si>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</si>
  <si>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</si>
  <si>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</si>
  <si>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</si>
  <si>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</si>
  <si>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</si>
  <si>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</si>
  <si>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</si>
  <si>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</si>
  <si>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</si>
  <si>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</si>
  <si>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</si>
  <si>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</si>
  <si>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</si>
  <si>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</si>
  <si>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</si>
  <si>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</si>
  <si>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</si>
  <si>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</si>
  <si>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</si>
  <si>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</si>
  <si>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</si>
  <si>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</si>
  <si>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</si>
  <si>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</si>
  <si>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</si>
  <si>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</si>
  <si>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</si>
  <si>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</si>
  <si>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</si>
  <si>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</si>
  <si>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</si>
  <si>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</si>
  <si>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</si>
  <si>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</si>
  <si>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</si>
  <si>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</si>
  <si>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</si>
  <si>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</si>
  <si>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</si>
  <si>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</si>
  <si>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</si>
  <si>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</si>
  <si>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3" type="noConversion"/>
  </si>
  <si>
    <t>N</t>
    <phoneticPr fontId="83" type="noConversion"/>
  </si>
  <si>
    <t>w</t>
    <phoneticPr fontId="83" type="noConversion"/>
  </si>
  <si>
    <t>W</t>
    <phoneticPr fontId="83" type="noConversion"/>
  </si>
  <si>
    <t>r</t>
    <phoneticPr fontId="83" type="noConversion"/>
  </si>
  <si>
    <t>No</t>
  </si>
  <si>
    <t>Ne</t>
  </si>
  <si>
    <t>Nu</t>
  </si>
  <si>
    <t>Ni</t>
  </si>
  <si>
    <t>Na</t>
  </si>
  <si>
    <t>按鍵編碼</t>
    <phoneticPr fontId="83" type="noConversion"/>
  </si>
  <si>
    <t>拼音字母</t>
    <phoneticPr fontId="83" type="noConversion"/>
  </si>
  <si>
    <t>ㄝ</t>
    <phoneticPr fontId="83" type="noConversion"/>
  </si>
  <si>
    <t>方音符號</t>
    <phoneticPr fontId="8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</si>
  <si>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</si>
  <si>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</si>
  <si>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</si>
  <si>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</si>
  <si>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</si>
  <si>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</si>
  <si>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</si>
  <si>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</si>
  <si>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</si>
  <si>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</si>
  <si>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</si>
  <si>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</si>
  <si>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</si>
  <si>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</si>
  <si>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</si>
  <si>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</si>
  <si>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</si>
  <si>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</si>
  <si>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3" type="noConversion"/>
  </si>
  <si>
    <t>l</t>
    <phoneticPr fontId="83" type="noConversion"/>
  </si>
  <si>
    <t>n</t>
    <phoneticPr fontId="83" type="noConversion"/>
  </si>
  <si>
    <t>m</t>
    <phoneticPr fontId="83" type="noConversion"/>
  </si>
  <si>
    <t>b</t>
    <phoneticPr fontId="83" type="noConversion"/>
  </si>
  <si>
    <t>聲母 (21)</t>
  </si>
  <si>
    <t>/ ?</t>
    <phoneticPr fontId="83" type="noConversion"/>
  </si>
  <si>
    <t>. &gt;</t>
    <phoneticPr fontId="83" type="noConversion"/>
  </si>
  <si>
    <t>, &lt;</t>
    <phoneticPr fontId="83" type="noConversion"/>
  </si>
  <si>
    <t>M</t>
    <phoneticPr fontId="83" type="noConversion"/>
  </si>
  <si>
    <t>B</t>
    <phoneticPr fontId="83" type="noConversion"/>
  </si>
  <si>
    <t>V</t>
    <phoneticPr fontId="83" type="noConversion"/>
  </si>
  <si>
    <t>C</t>
    <phoneticPr fontId="83" type="noConversion"/>
  </si>
  <si>
    <t>X</t>
    <phoneticPr fontId="83" type="noConversion"/>
  </si>
  <si>
    <t>Z</t>
    <phoneticPr fontId="83" type="noConversion"/>
  </si>
  <si>
    <t>Ｚ</t>
    <phoneticPr fontId="83" type="noConversion"/>
  </si>
  <si>
    <t>入聲調 （促音）</t>
    <phoneticPr fontId="83" type="noConversion"/>
  </si>
  <si>
    <t>; :</t>
    <phoneticPr fontId="83" type="noConversion"/>
  </si>
  <si>
    <t>L</t>
    <phoneticPr fontId="83" type="noConversion"/>
  </si>
  <si>
    <t>K</t>
    <phoneticPr fontId="83" type="noConversion"/>
  </si>
  <si>
    <t>J</t>
    <phoneticPr fontId="83" type="noConversion"/>
  </si>
  <si>
    <t>H</t>
    <phoneticPr fontId="83" type="noConversion"/>
  </si>
  <si>
    <t>G</t>
    <phoneticPr fontId="83" type="noConversion"/>
  </si>
  <si>
    <t>F</t>
    <phoneticPr fontId="83" type="noConversion"/>
  </si>
  <si>
    <t>D</t>
    <phoneticPr fontId="83" type="noConversion"/>
  </si>
  <si>
    <t>S</t>
    <phoneticPr fontId="83" type="noConversion"/>
  </si>
  <si>
    <t>A</t>
    <phoneticPr fontId="83" type="noConversion"/>
  </si>
  <si>
    <t>O</t>
    <phoneticPr fontId="83" type="noConversion"/>
  </si>
  <si>
    <t>次濁聲 （鼻音）</t>
    <phoneticPr fontId="83" type="noConversion"/>
  </si>
  <si>
    <t>P</t>
    <phoneticPr fontId="83" type="noConversion"/>
  </si>
  <si>
    <t>I</t>
    <phoneticPr fontId="83" type="noConversion"/>
  </si>
  <si>
    <t>U</t>
    <phoneticPr fontId="83" type="noConversion"/>
  </si>
  <si>
    <t>Y</t>
    <phoneticPr fontId="83" type="noConversion"/>
  </si>
  <si>
    <t>T</t>
    <phoneticPr fontId="83" type="noConversion"/>
  </si>
  <si>
    <t>R</t>
    <phoneticPr fontId="83" type="noConversion"/>
  </si>
  <si>
    <t>E</t>
    <phoneticPr fontId="83" type="noConversion"/>
  </si>
  <si>
    <t>Q</t>
    <phoneticPr fontId="83" type="noConversion"/>
  </si>
  <si>
    <t>濁聲 （喉音）</t>
    <phoneticPr fontId="83" type="noConversion"/>
  </si>
  <si>
    <t>˫(陽去)</t>
    <phoneticPr fontId="8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</si>
  <si>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</si>
  <si>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</si>
  <si>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3" type="noConversion"/>
  </si>
  <si>
    <t>鍵盤位置</t>
    <phoneticPr fontId="8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</si>
  <si>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</si>
  <si>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</si>
  <si>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</si>
  <si>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</si>
  <si>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</si>
  <si>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</si>
  <si>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</si>
  <si>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</si>
  <si>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</si>
  <si>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</si>
  <si>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</si>
  <si>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</si>
  <si>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</si>
  <si>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</si>
  <si>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</si>
  <si>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</si>
  <si>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</si>
  <si>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</si>
  <si>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</si>
  <si>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</si>
  <si>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</si>
  <si>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</si>
  <si>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</si>
  <si>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</si>
  <si>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</si>
  <si>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</si>
  <si>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</si>
  <si>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</si>
  <si>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</si>
  <si>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</si>
  <si>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</si>
  <si>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</si>
  <si>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</si>
  <si>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</si>
  <si>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</si>
  <si>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</si>
  <si>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</si>
  <si>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</si>
  <si>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</si>
  <si>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</si>
  <si>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</si>
  <si>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</si>
  <si>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</si>
  <si>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</si>
  <si>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</si>
  <si>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</si>
  <si>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</si>
  <si>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</si>
  <si>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</si>
  <si>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</si>
  <si>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</si>
  <si>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</si>
  <si>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</si>
  <si>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</si>
  <si>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</si>
  <si>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</si>
  <si>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</si>
  <si>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</si>
  <si>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</si>
  <si>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</si>
  <si>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</si>
  <si>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</si>
  <si>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</si>
  <si>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</si>
  <si>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</si>
  <si>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</si>
  <si>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</si>
  <si>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</si>
  <si>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</si>
  <si>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</si>
  <si>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</si>
  <si>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</si>
  <si>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</si>
  <si>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</si>
  <si>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</si>
  <si>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</si>
  <si>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</si>
  <si>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</si>
  <si>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</si>
  <si>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</si>
  <si>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</si>
  <si>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</si>
  <si>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</si>
  <si>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</si>
  <si>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</si>
  <si>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</si>
  <si>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</si>
  <si>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</si>
  <si>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</si>
  <si>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</si>
  <si>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</si>
  <si>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</si>
  <si>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</si>
  <si>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</si>
  <si>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</si>
  <si>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</si>
  <si>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</si>
  <si>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</si>
  <si>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</si>
  <si>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</si>
  <si>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</si>
  <si>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</si>
  <si>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</si>
  <si>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</si>
  <si>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</si>
  <si>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</si>
  <si>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</si>
  <si>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</si>
  <si>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</si>
  <si>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</si>
  <si>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</si>
  <si>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</si>
  <si>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</si>
  <si>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</si>
  <si>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</si>
  <si>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</si>
  <si>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</si>
  <si>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</si>
  <si>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</si>
  <si>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</si>
  <si>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</si>
  <si>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</si>
  <si>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</si>
  <si>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</si>
  <si>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</si>
  <si>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</si>
  <si>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</si>
  <si>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</si>
  <si>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</si>
  <si>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</si>
  <si>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</si>
  <si>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</si>
  <si>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</si>
  <si>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</si>
  <si>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</si>
  <si>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</si>
  <si>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</si>
  <si>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</si>
  <si>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</si>
  <si>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</si>
  <si>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</si>
  <si>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</si>
  <si>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</si>
  <si>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</si>
  <si>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</si>
  <si>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</si>
  <si>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</si>
  <si>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</si>
  <si>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</si>
  <si>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am</t>
  </si>
  <si>
    <t>aB</t>
  </si>
  <si>
    <t>oB</t>
  </si>
  <si>
    <t>om</t>
  </si>
  <si>
    <t>in</t>
  </si>
  <si>
    <t>un</t>
  </si>
  <si>
    <t>an</t>
  </si>
  <si>
    <t>aD</t>
  </si>
  <si>
    <t>aG</t>
  </si>
  <si>
    <t>ang</t>
  </si>
  <si>
    <t>øG</t>
  </si>
  <si>
    <t>oG</t>
  </si>
  <si>
    <t>ong</t>
  </si>
  <si>
    <t>ㆬ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</si>
  <si>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</si>
  <si>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</si>
  <si>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</si>
  <si>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n</t>
    <phoneticPr fontId="3" type="noConversion"/>
  </si>
  <si>
    <t>Speller</t>
    <phoneticPr fontId="122" type="noConversion"/>
  </si>
  <si>
    <t>comment_format</t>
    <phoneticPr fontId="122" type="noConversion"/>
  </si>
  <si>
    <t>preedit_format:</t>
    <phoneticPr fontId="122" type="noConversion"/>
  </si>
  <si>
    <t>Speller:</t>
    <phoneticPr fontId="122" type="noConversion"/>
  </si>
  <si>
    <t>拼音字母</t>
    <phoneticPr fontId="122" type="noConversion"/>
  </si>
  <si>
    <t>字典拼音</t>
    <phoneticPr fontId="122" type="noConversion"/>
  </si>
  <si>
    <t>鍵盤按鍵</t>
    <phoneticPr fontId="122" type="noConversion"/>
  </si>
  <si>
    <t>方音符號</t>
  </si>
  <si>
    <t>方音符號</t>
    <phoneticPr fontId="122" type="noConversion"/>
  </si>
  <si>
    <t>pPmbtTndkKhjJSgqzcCsiuBaoøMIeUYLDQGN123570</t>
  </si>
  <si>
    <t>1qaz2wsxedcrfvtgbyhnujm8ik,9ol.0p;/- 43657</t>
    <phoneticPr fontId="122" type="noConversion"/>
  </si>
  <si>
    <t>q</t>
    <phoneticPr fontId="122" type="noConversion"/>
  </si>
  <si>
    <t>a</t>
    <phoneticPr fontId="122" type="noConversion"/>
  </si>
  <si>
    <t>bN</t>
  </si>
  <si>
    <t>comment_format:</t>
    <phoneticPr fontId="122" type="noConversion"/>
  </si>
  <si>
    <t>z</t>
    <phoneticPr fontId="122" type="noConversion"/>
  </si>
  <si>
    <t>pPbtTdkKgcCzshiuaoøeIUBDGN</t>
    <phoneticPr fontId="122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</si>
  <si>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</rPr>
      <t>ㄣ</t>
    </r>
    <r>
      <rPr>
        <sz val="18"/>
        <rFont val="BopomofoRuby1909-v1"/>
        <family val="3"/>
        <charset val="136"/>
      </rPr>
      <t>ㆭｎ</t>
    </r>
    <phoneticPr fontId="122" type="noConversion"/>
  </si>
  <si>
    <t>w</t>
    <phoneticPr fontId="122" type="noConversion"/>
  </si>
  <si>
    <t>s</t>
    <phoneticPr fontId="122" type="noConversion"/>
  </si>
  <si>
    <t>dN</t>
  </si>
  <si>
    <t>x</t>
    <phoneticPr fontId="122" type="noConversion"/>
  </si>
  <si>
    <t>e</t>
    <phoneticPr fontId="122" type="noConversion"/>
  </si>
  <si>
    <t>1qaz2wsxedcrfvtgbyhnujm8ik,9ol.0p;/-43657</t>
    <phoneticPr fontId="122" type="noConversion"/>
  </si>
  <si>
    <t>d</t>
    <phoneticPr fontId="122" type="noConversion"/>
  </si>
  <si>
    <t>c</t>
    <phoneticPr fontId="122" type="noConversion"/>
  </si>
  <si>
    <t>r</t>
    <phoneticPr fontId="122" type="noConversion"/>
  </si>
  <si>
    <t>ci</t>
    <phoneticPr fontId="122" type="noConversion"/>
  </si>
  <si>
    <t>ci</t>
  </si>
  <si>
    <t>[t͡ɕ]</t>
  </si>
  <si>
    <t>f</t>
    <phoneticPr fontId="122" type="noConversion"/>
  </si>
  <si>
    <t>chi</t>
    <phoneticPr fontId="122" type="noConversion"/>
  </si>
  <si>
    <t>Ci</t>
  </si>
  <si>
    <t>[t͡ɕʰ]</t>
  </si>
  <si>
    <t>v</t>
    <phoneticPr fontId="122" type="noConversion"/>
  </si>
  <si>
    <t>si</t>
  </si>
  <si>
    <t>[ɕ]</t>
  </si>
  <si>
    <t>t</t>
    <phoneticPr fontId="122" type="noConversion"/>
  </si>
  <si>
    <t>g</t>
    <phoneticPr fontId="122" type="noConversion"/>
  </si>
  <si>
    <t>gN</t>
  </si>
  <si>
    <t>b</t>
    <phoneticPr fontId="122" type="noConversion"/>
  </si>
  <si>
    <t>zi</t>
  </si>
  <si>
    <t>[d͡ʑ]</t>
  </si>
  <si>
    <t>y</t>
    <phoneticPr fontId="122" type="noConversion"/>
  </si>
  <si>
    <t>h</t>
    <phoneticPr fontId="122" type="noConversion"/>
  </si>
  <si>
    <t>ch</t>
    <phoneticPr fontId="122" type="noConversion"/>
  </si>
  <si>
    <t>n</t>
    <phoneticPr fontId="122" type="noConversion"/>
  </si>
  <si>
    <t>u</t>
    <phoneticPr fontId="122" type="noConversion"/>
  </si>
  <si>
    <t>j</t>
    <phoneticPr fontId="122" type="noConversion"/>
  </si>
  <si>
    <t>m</t>
    <phoneticPr fontId="122" type="noConversion"/>
  </si>
  <si>
    <t>ø</t>
  </si>
  <si>
    <t>i</t>
    <phoneticPr fontId="122" type="noConversion"/>
  </si>
  <si>
    <t>k</t>
    <phoneticPr fontId="122" type="noConversion"/>
  </si>
  <si>
    <t>[ai]</t>
  </si>
  <si>
    <t>o</t>
    <phoneticPr fontId="122" type="noConversion"/>
  </si>
  <si>
    <t>l</t>
    <phoneticPr fontId="122" type="noConversion"/>
  </si>
  <si>
    <t>[au]</t>
  </si>
  <si>
    <t>.</t>
  </si>
  <si>
    <t>.</t>
    <phoneticPr fontId="122" type="noConversion"/>
  </si>
  <si>
    <t>[ɔŋ]</t>
  </si>
  <si>
    <t>[an]</t>
  </si>
  <si>
    <t>p</t>
    <phoneticPr fontId="122" type="noConversion"/>
  </si>
  <si>
    <t>;</t>
    <phoneticPr fontId="122" type="noConversion"/>
  </si>
  <si>
    <t>[aŋ]</t>
  </si>
  <si>
    <t>/</t>
    <phoneticPr fontId="122" type="noConversion"/>
  </si>
  <si>
    <t>[əŋ]</t>
  </si>
  <si>
    <t>,</t>
    <phoneticPr fontId="122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</si>
  <si>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</si>
  <si>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</si>
  <si>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</si>
  <si>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</si>
  <si>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</si>
  <si>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</si>
  <si>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2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</si>
  <si>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</si>
  <si>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</si>
  <si>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</si>
  <si>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</si>
  <si>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</si>
  <si>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</si>
  <si>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</si>
  <si>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2" type="noConversion"/>
  </si>
  <si>
    <t>字典編碼</t>
    <phoneticPr fontId="8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</si>
  <si>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</si>
  <si>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</si>
  <si>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</si>
  <si>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</si>
  <si>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</si>
  <si>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</si>
  <si>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</si>
  <si>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</si>
  <si>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</si>
  <si>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</si>
  <si>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</si>
  <si>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</si>
  <si>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</si>
  <si>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</si>
  <si>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</si>
  <si>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</si>
  <si>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</si>
  <si>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</si>
  <si>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</si>
  <si>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</si>
  <si>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</si>
  <si>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</si>
  <si>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</si>
  <si>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</si>
  <si>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</si>
  <si>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</si>
  <si>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</si>
  <si>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</si>
  <si>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</si>
  <si>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</si>
  <si>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</si>
  <si>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</si>
  <si>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</si>
  <si>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</si>
  <si>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</si>
  <si>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</si>
  <si>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</si>
  <si>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</si>
  <si>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</si>
  <si>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</si>
  <si>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</si>
  <si>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</si>
  <si>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</si>
  <si>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</si>
  <si>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</si>
  <si>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</si>
  <si>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</si>
  <si>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</si>
  <si>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</si>
  <si>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</si>
  <si>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</si>
  <si>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</si>
  <si>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</si>
  <si>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</si>
  <si>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</si>
  <si>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</si>
  <si>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</si>
  <si>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</si>
  <si>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</si>
  <si>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</si>
  <si>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</si>
  <si>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</si>
  <si>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</si>
  <si>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</si>
  <si>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</si>
  <si>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</si>
  <si>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</si>
  <si>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</si>
  <si>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</si>
  <si>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</si>
  <si>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</si>
  <si>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</si>
  <si>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</si>
  <si>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</si>
  <si>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</si>
  <si>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</si>
  <si>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</si>
  <si>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</si>
  <si>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</si>
  <si>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</si>
  <si>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</si>
  <si>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</si>
  <si>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</si>
  <si>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</si>
  <si>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</si>
  <si>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</si>
  <si>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</si>
  <si>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</si>
  <si>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</si>
  <si>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</si>
  <si>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</si>
  <si>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</si>
  <si>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</si>
  <si>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</si>
  <si>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</si>
  <si>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</si>
  <si>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</si>
  <si>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</si>
  <si>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</si>
  <si>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</si>
  <si>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</si>
  <si>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</si>
  <si>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</si>
  <si>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</si>
  <si>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</si>
  <si>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</si>
  <si>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</si>
  <si>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</si>
  <si>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</si>
  <si>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</si>
  <si>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</si>
  <si>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</si>
  <si>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</si>
  <si>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</si>
  <si>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</si>
  <si>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</si>
  <si>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</si>
  <si>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</si>
  <si>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</si>
  <si>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</si>
  <si>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</si>
  <si>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</si>
  <si>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</si>
  <si>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</si>
  <si>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</si>
  <si>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</si>
  <si>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</si>
  <si>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</si>
  <si>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</si>
  <si>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</si>
  <si>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</si>
  <si>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</si>
  <si>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</si>
  <si>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</si>
  <si>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</si>
  <si>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</si>
  <si>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</si>
  <si>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</si>
  <si>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</si>
  <si>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</si>
  <si>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</si>
  <si>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</si>
  <si>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</si>
  <si>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</si>
  <si>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</si>
  <si>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</si>
  <si>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</si>
  <si>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</si>
  <si>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</si>
  <si>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</si>
  <si>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</si>
  <si>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</si>
  <si>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</si>
  <si>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</si>
  <si>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</si>
  <si>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</si>
  <si>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</si>
  <si>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</si>
  <si>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</si>
  <si>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</si>
  <si>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</si>
  <si>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</si>
  <si>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</si>
  <si>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</si>
  <si>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</si>
  <si>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</si>
  <si>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</si>
  <si>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</si>
  <si>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</si>
  <si>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</si>
  <si>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</si>
  <si>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</si>
  <si>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</si>
  <si>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</si>
  <si>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</si>
  <si>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</si>
  <si>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</si>
  <si>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</si>
  <si>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</si>
  <si>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</si>
  <si>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</si>
  <si>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</si>
  <si>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</si>
  <si>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</si>
  <si>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</si>
  <si>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</si>
  <si>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</si>
  <si>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</si>
  <si>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</si>
  <si>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</si>
  <si>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</si>
  <si>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</si>
  <si>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</si>
  <si>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N</t>
    <phoneticPr fontId="3" type="noConversion"/>
  </si>
  <si>
    <t>声</t>
    <phoneticPr fontId="3" type="noConversion"/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</si>
  <si>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</si>
  <si>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</si>
  <si>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</si>
  <si>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</si>
  <si>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</si>
  <si>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</si>
  <si>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</si>
  <si>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</si>
  <si>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-m</t>
  </si>
  <si>
    <t/>
  </si>
  <si>
    <t>oon</t>
  </si>
  <si>
    <t>en</t>
  </si>
  <si>
    <t>ain</t>
  </si>
  <si>
    <t>aun</t>
  </si>
  <si>
    <t>．</t>
  </si>
  <si>
    <t>声</t>
  </si>
  <si>
    <t>-nn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</si>
  <si>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</si>
  <si>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</si>
  <si>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</si>
  <si>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</si>
  <si>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</si>
  <si>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</si>
  <si>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</si>
  <si>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</si>
  <si>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</si>
  <si>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</si>
  <si>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</si>
  <si>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</si>
  <si>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</si>
  <si>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</si>
  <si>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</si>
  <si>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</si>
  <si>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</si>
  <si>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</si>
  <si>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</si>
  <si>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</si>
  <si>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z</t>
    <phoneticPr fontId="3" type="noConversion"/>
  </si>
  <si>
    <t>finals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</si>
</sst>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[&quot;\ @\ &quot;]&quot;"/>
    <numFmt numFmtId="177" formatCode="&quot;/ &quot;@&quot; /&quot;"/>
    <numFmt numFmtId="178" formatCode="General;;"/>
    <numFmt numFmtId="179" formatCode="General;;\(&quot;空&quot;&quot;白&quot;&quot;字&quot;&quot;元&quot;\)"/>
  </numFmts>
  <fonts count="205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</font>
    <font>
      <sz val="12"/>
      <name val="Times New Roman"/>
      <family val="1"/>
    </font>
    <font>
      <b/>
      <sz val="16"/>
      <color rgb="FFFF0000"/>
      <name val="宋体"/>
    </font>
    <font>
      <b/>
      <sz val="16"/>
      <color rgb="FFFF0000"/>
      <name val="Times New Roman"/>
      <family val="1"/>
    </font>
    <font>
      <sz val="12"/>
      <color rgb="FFFF0000"/>
      <name val="宋体"/>
    </font>
    <font>
      <sz val="12"/>
      <color rgb="FFFF0000"/>
      <name val="Times New Roman"/>
      <family val="1"/>
    </font>
    <font>
      <b/>
      <sz val="12"/>
      <color rgb="FF00B0F0"/>
      <name val="宋体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BopomofoRuby1909-v1"/>
      <family val="3"/>
      <charset val="136"/>
    </font>
    <font>
      <sz val="12"/>
      <name val="宋体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1" fillId="0" borderId="0"/>
  </cellStyleXfs>
  <cellXfs count="515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6" fillId="0" borderId="17" xfId="1" applyFont="1" applyFill="1" applyBorder="1" applyAlignment="1">
      <alignment horizontal="center" vertical="center"/>
    </xf>
    <xf numFmtId="176" fontId="37" fillId="0" borderId="18" xfId="1" applyNumberFormat="1" applyFont="1" applyFill="1" applyBorder="1" applyAlignment="1">
      <alignment horizontal="center" vertical="center"/>
    </xf>
    <xf numFmtId="0" fontId="36" fillId="0" borderId="19" xfId="1" applyFont="1" applyFill="1" applyBorder="1" applyAlignment="1">
      <alignment horizontal="center" vertical="center"/>
    </xf>
    <xf numFmtId="0" fontId="38" fillId="0" borderId="19" xfId="1" applyFont="1" applyFill="1" applyBorder="1" applyAlignment="1">
      <alignment horizontal="center" vertical="center"/>
    </xf>
    <xf numFmtId="177" fontId="39" fillId="0" borderId="18" xfId="1" applyNumberFormat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left" vertical="center" indent="1"/>
    </xf>
    <xf numFmtId="0" fontId="40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176" fontId="46" fillId="0" borderId="18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8" fillId="0" borderId="0" xfId="0" applyFont="1"/>
    <xf numFmtId="0" fontId="49" fillId="6" borderId="16" xfId="0" applyFont="1" applyFill="1" applyBorder="1"/>
    <xf numFmtId="0" fontId="49" fillId="6" borderId="16" xfId="0" applyFont="1" applyFill="1" applyBorder="1" applyAlignment="1">
      <alignment horizontal="center" vertical="center"/>
    </xf>
    <xf numFmtId="0" fontId="45" fillId="12" borderId="16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20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20" xfId="0" applyFont="1" applyFill="1" applyBorder="1" applyAlignment="1">
      <alignment horizontal="left" vertical="center" indent="1"/>
    </xf>
    <xf numFmtId="0" fontId="51" fillId="0" borderId="0" xfId="0" applyFont="1" applyAlignment="1">
      <alignment horizontal="center" vertical="center"/>
    </xf>
    <xf numFmtId="0" fontId="53" fillId="0" borderId="0" xfId="0" applyFont="1"/>
    <xf numFmtId="0" fontId="52" fillId="6" borderId="16" xfId="0" applyFont="1" applyFill="1" applyBorder="1" applyAlignment="1">
      <alignment horizontal="center" vertical="center"/>
    </xf>
    <xf numFmtId="0" fontId="51" fillId="5" borderId="8" xfId="0" applyFont="1" applyFill="1" applyBorder="1" applyAlignment="1">
      <alignment vertical="center"/>
    </xf>
    <xf numFmtId="0" fontId="5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8" fontId="9" fillId="2" borderId="4" xfId="0" applyNumberFormat="1" applyFont="1" applyFill="1" applyBorder="1" applyAlignment="1">
      <alignment vertical="center"/>
    </xf>
    <xf numFmtId="178" fontId="5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5" fillId="4" borderId="5" xfId="0" applyFont="1" applyFill="1" applyBorder="1" applyAlignment="1">
      <alignment vertical="center"/>
    </xf>
    <xf numFmtId="178" fontId="5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57" fillId="14" borderId="0" xfId="0" applyFont="1" applyFill="1" applyAlignment="1">
      <alignment vertical="center"/>
    </xf>
    <xf numFmtId="0" fontId="57" fillId="14" borderId="8" xfId="0" applyFont="1" applyFill="1" applyBorder="1" applyAlignment="1">
      <alignment vertical="center"/>
    </xf>
    <xf numFmtId="0" fontId="5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5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7" borderId="0" xfId="2" applyNumberFormat="1" applyFont="1" applyFill="1" applyAlignment="1">
      <alignment horizontal="center" vertical="center"/>
    </xf>
    <xf numFmtId="178" fontId="59" fillId="18" borderId="0" xfId="2" applyNumberFormat="1" applyFont="1" applyFill="1" applyAlignment="1">
      <alignment horizontal="center" vertical="center"/>
    </xf>
    <xf numFmtId="178" fontId="60" fillId="17" borderId="0" xfId="2" applyNumberFormat="1" applyFont="1" applyFill="1" applyAlignment="1">
      <alignment horizontal="center" vertical="center"/>
    </xf>
    <xf numFmtId="178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57" fillId="14" borderId="0" xfId="2" applyNumberFormat="1" applyFont="1" applyFill="1" applyAlignment="1">
      <alignment horizontal="center" vertical="center" shrinkToFit="1"/>
    </xf>
    <xf numFmtId="178" fontId="61" fillId="14" borderId="0" xfId="2" quotePrefix="1" applyNumberFormat="1" applyFont="1" applyFill="1" applyAlignment="1">
      <alignment horizontal="center" vertical="center" shrinkToFit="1"/>
    </xf>
    <xf numFmtId="178" fontId="61" fillId="14" borderId="0" xfId="2" applyNumberFormat="1" applyFont="1" applyFill="1" applyAlignment="1">
      <alignment horizontal="center" vertical="center" shrinkToFit="1"/>
    </xf>
    <xf numFmtId="178" fontId="57" fillId="14" borderId="0" xfId="2" quotePrefix="1" applyNumberFormat="1" applyFont="1" applyFill="1" applyAlignment="1">
      <alignment horizontal="center" vertical="center" shrinkToFit="1"/>
    </xf>
    <xf numFmtId="0" fontId="61" fillId="14" borderId="0" xfId="2" applyFont="1" applyFill="1">
      <alignment vertical="center"/>
    </xf>
    <xf numFmtId="178" fontId="62" fillId="19" borderId="0" xfId="2" applyNumberFormat="1" applyFont="1" applyFill="1" applyAlignment="1">
      <alignment horizontal="center" vertical="center" shrinkToFit="1"/>
    </xf>
    <xf numFmtId="178" fontId="63" fillId="19" borderId="0" xfId="2" quotePrefix="1" applyNumberFormat="1" applyFont="1" applyFill="1" applyAlignment="1">
      <alignment horizontal="center" vertical="center" shrinkToFit="1"/>
    </xf>
    <xf numFmtId="178" fontId="58" fillId="19" borderId="0" xfId="2" applyNumberFormat="1" applyFont="1" applyFill="1" applyAlignment="1">
      <alignment horizontal="center" vertical="center" shrinkToFit="1"/>
    </xf>
    <xf numFmtId="178" fontId="63" fillId="19" borderId="0" xfId="2" applyNumberFormat="1" applyFont="1" applyFill="1" applyAlignment="1">
      <alignment horizontal="center" vertical="center" shrinkToFit="1"/>
    </xf>
    <xf numFmtId="178" fontId="58" fillId="19" borderId="0" xfId="2" quotePrefix="1" applyNumberFormat="1" applyFont="1" applyFill="1" applyAlignment="1">
      <alignment horizontal="center" vertical="center" shrinkToFit="1"/>
    </xf>
    <xf numFmtId="0" fontId="61" fillId="19" borderId="0" xfId="2" applyFont="1" applyFill="1">
      <alignment vertical="center"/>
    </xf>
    <xf numFmtId="178" fontId="64" fillId="7" borderId="0" xfId="2" applyNumberFormat="1" applyFont="1" applyFill="1" applyAlignment="1">
      <alignment horizontal="center" vertical="center" shrinkToFit="1"/>
    </xf>
    <xf numFmtId="178" fontId="65" fillId="7" borderId="0" xfId="2" applyNumberFormat="1" applyFont="1" applyFill="1" applyAlignment="1">
      <alignment horizontal="center" vertical="center" shrinkToFit="1"/>
    </xf>
    <xf numFmtId="0" fontId="66" fillId="7" borderId="0" xfId="2" applyFont="1" applyFill="1">
      <alignment vertical="center"/>
    </xf>
    <xf numFmtId="0" fontId="67" fillId="6" borderId="0" xfId="2" applyFont="1" applyFill="1" applyAlignment="1">
      <alignment horizontal="center" vertical="center" shrinkToFit="1"/>
    </xf>
    <xf numFmtId="0" fontId="6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4" borderId="2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7" xfId="0" applyFont="1" applyFill="1" applyBorder="1" applyAlignment="1">
      <alignment horizontal="left" vertical="center" indent="3"/>
    </xf>
    <xf numFmtId="0" fontId="23" fillId="8" borderId="20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6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72" fillId="15" borderId="16" xfId="0" applyNumberFormat="1" applyFont="1" applyFill="1" applyBorder="1" applyAlignment="1">
      <alignment horizontal="center" vertical="center"/>
    </xf>
    <xf numFmtId="178" fontId="73" fillId="15" borderId="16" xfId="0" applyNumberFormat="1" applyFont="1" applyFill="1" applyBorder="1" applyAlignment="1">
      <alignment horizontal="center" vertical="center"/>
    </xf>
    <xf numFmtId="178" fontId="54" fillId="8" borderId="16" xfId="0" applyNumberFormat="1" applyFont="1" applyFill="1" applyBorder="1" applyAlignment="1">
      <alignment horizontal="center" vertical="center"/>
    </xf>
    <xf numFmtId="178" fontId="69" fillId="8" borderId="16" xfId="0" applyNumberFormat="1" applyFont="1" applyFill="1" applyBorder="1" applyAlignment="1">
      <alignment horizontal="center" vertical="center"/>
    </xf>
    <xf numFmtId="178" fontId="54" fillId="8" borderId="16" xfId="0" quotePrefix="1" applyNumberFormat="1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0" fontId="73" fillId="15" borderId="16" xfId="0" applyFont="1" applyFill="1" applyBorder="1" applyAlignment="1">
      <alignment horizontal="center" vertical="center"/>
    </xf>
    <xf numFmtId="0" fontId="7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78" fillId="0" borderId="0" xfId="0" applyFont="1"/>
    <xf numFmtId="0" fontId="7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0" fillId="0" borderId="0" xfId="3" applyFont="1" applyAlignment="1">
      <alignment horizontal="center"/>
    </xf>
    <xf numFmtId="0" fontId="81" fillId="16" borderId="0" xfId="3" applyFont="1" applyFill="1" applyAlignment="1">
      <alignment horizontal="center"/>
    </xf>
    <xf numFmtId="0" fontId="82" fillId="0" borderId="0" xfId="3" applyFont="1" applyAlignment="1">
      <alignment horizontal="center"/>
    </xf>
    <xf numFmtId="0" fontId="8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5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20" borderId="0" xfId="3" applyFont="1" applyFill="1" applyAlignment="1">
      <alignment horizontal="center"/>
    </xf>
    <xf numFmtId="0" fontId="91" fillId="0" borderId="0" xfId="3" applyFont="1" applyAlignment="1">
      <alignment horizontal="center"/>
    </xf>
    <xf numFmtId="0" fontId="100" fillId="0" borderId="0" xfId="3" applyFont="1" applyAlignment="1">
      <alignment horizontal="left"/>
    </xf>
    <xf numFmtId="0" fontId="99" fillId="0" borderId="0" xfId="3" applyFont="1" applyAlignment="1">
      <alignment horizontal="center"/>
    </xf>
    <xf numFmtId="0" fontId="106" fillId="0" borderId="0" xfId="3" applyFont="1" applyAlignment="1">
      <alignment horizontal="center"/>
    </xf>
    <xf numFmtId="0" fontId="111" fillId="0" borderId="0" xfId="0" applyFont="1" applyAlignment="1">
      <alignment horizontal="center" vertical="center"/>
    </xf>
    <xf numFmtId="0" fontId="111" fillId="7" borderId="0" xfId="0" applyFont="1" applyFill="1" applyAlignment="1">
      <alignment horizontal="center" vertical="center"/>
    </xf>
    <xf numFmtId="0" fontId="111" fillId="7" borderId="17" xfId="0" applyFont="1" applyFill="1" applyBorder="1" applyAlignment="1">
      <alignment horizontal="center" vertical="center"/>
    </xf>
    <xf numFmtId="0" fontId="111" fillId="7" borderId="20" xfId="0" applyFont="1" applyFill="1" applyBorder="1" applyAlignment="1">
      <alignment horizontal="center" vertical="center"/>
    </xf>
    <xf numFmtId="0" fontId="111" fillId="7" borderId="9" xfId="0" applyFont="1" applyFill="1" applyBorder="1" applyAlignment="1">
      <alignment horizontal="center" vertical="center"/>
    </xf>
    <xf numFmtId="0" fontId="113" fillId="5" borderId="7" xfId="0" applyFont="1" applyFill="1" applyBorder="1" applyAlignment="1">
      <alignment horizontal="center" vertical="center"/>
    </xf>
    <xf numFmtId="0" fontId="114" fillId="7" borderId="7" xfId="0" applyFont="1" applyFill="1" applyBorder="1" applyAlignment="1">
      <alignment horizontal="center" vertical="center"/>
    </xf>
    <xf numFmtId="0" fontId="113" fillId="8" borderId="7" xfId="0" applyFont="1" applyFill="1" applyBorder="1" applyAlignment="1">
      <alignment horizontal="center" vertical="center"/>
    </xf>
    <xf numFmtId="0" fontId="113" fillId="2" borderId="7" xfId="0" applyFont="1" applyFill="1" applyBorder="1" applyAlignment="1">
      <alignment horizontal="center" vertical="center"/>
    </xf>
    <xf numFmtId="0" fontId="113" fillId="4" borderId="7" xfId="0" applyFont="1" applyFill="1" applyBorder="1" applyAlignment="1">
      <alignment horizontal="center" vertical="center"/>
    </xf>
    <xf numFmtId="0" fontId="116" fillId="21" borderId="0" xfId="0" applyFont="1" applyFill="1" applyAlignment="1">
      <alignment horizontal="center" vertical="center" wrapText="1"/>
    </xf>
    <xf numFmtId="0" fontId="117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63" fillId="14" borderId="16" xfId="0" applyNumberFormat="1" applyFont="1" applyFill="1" applyBorder="1" applyAlignment="1">
      <alignment horizontal="center" vertical="center"/>
    </xf>
    <xf numFmtId="178" fontId="70" fillId="14" borderId="16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57" fillId="14" borderId="0" xfId="0" applyFont="1" applyFill="1" applyAlignment="1">
      <alignment horizontal="center" vertical="center"/>
    </xf>
    <xf numFmtId="0" fontId="14" fillId="0" borderId="0" xfId="4" applyFont="1"/>
    <xf numFmtId="0" fontId="123" fillId="0" borderId="0" xfId="4" applyFont="1"/>
    <xf numFmtId="0" fontId="123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24" fillId="0" borderId="0" xfId="4" applyFont="1" applyAlignment="1">
      <alignment horizontal="center"/>
    </xf>
    <xf numFmtId="0" fontId="125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66" fillId="0" borderId="0" xfId="4" applyFont="1"/>
    <xf numFmtId="0" fontId="129" fillId="22" borderId="19" xfId="4" applyFont="1" applyFill="1" applyBorder="1"/>
    <xf numFmtId="0" fontId="130" fillId="22" borderId="17" xfId="4" applyFont="1" applyFill="1" applyBorder="1" applyAlignment="1">
      <alignment horizontal="center"/>
    </xf>
    <xf numFmtId="0" fontId="130" fillId="22" borderId="18" xfId="4" applyFont="1" applyFill="1" applyBorder="1" applyAlignment="1">
      <alignment horizontal="center"/>
    </xf>
    <xf numFmtId="0" fontId="131" fillId="22" borderId="19" xfId="4" applyFont="1" applyFill="1" applyBorder="1" applyAlignment="1">
      <alignment horizontal="center"/>
    </xf>
    <xf numFmtId="0" fontId="123" fillId="23" borderId="0" xfId="4" applyFont="1" applyFill="1" applyAlignment="1">
      <alignment horizontal="center"/>
    </xf>
    <xf numFmtId="0" fontId="130" fillId="24" borderId="0" xfId="4" applyFont="1" applyFill="1" applyAlignment="1">
      <alignment horizontal="center"/>
    </xf>
    <xf numFmtId="0" fontId="132" fillId="20" borderId="0" xfId="4" applyFont="1" applyFill="1" applyAlignment="1">
      <alignment horizontal="center"/>
    </xf>
    <xf numFmtId="0" fontId="132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29" fillId="22" borderId="23" xfId="4" applyFont="1" applyFill="1" applyBorder="1"/>
    <xf numFmtId="0" fontId="130" fillId="22" borderId="0" xfId="4" applyFont="1" applyFill="1" applyAlignment="1">
      <alignment horizontal="center"/>
    </xf>
    <xf numFmtId="0" fontId="130" fillId="22" borderId="24" xfId="4" applyFont="1" applyFill="1" applyBorder="1" applyAlignment="1">
      <alignment horizontal="center"/>
    </xf>
    <xf numFmtId="0" fontId="131" fillId="22" borderId="0" xfId="4" applyFont="1" applyFill="1" applyAlignment="1">
      <alignment horizontal="center"/>
    </xf>
    <xf numFmtId="0" fontId="118" fillId="0" borderId="0" xfId="4" applyFont="1" applyAlignment="1">
      <alignment horizontal="center"/>
    </xf>
    <xf numFmtId="0" fontId="129" fillId="22" borderId="22" xfId="4" applyFont="1" applyFill="1" applyBorder="1"/>
    <xf numFmtId="0" fontId="130" fillId="22" borderId="20" xfId="4" applyFont="1" applyFill="1" applyBorder="1" applyAlignment="1">
      <alignment horizontal="center"/>
    </xf>
    <xf numFmtId="0" fontId="130" fillId="22" borderId="21" xfId="4" applyFont="1" applyFill="1" applyBorder="1" applyAlignment="1">
      <alignment horizontal="center"/>
    </xf>
    <xf numFmtId="0" fontId="131" fillId="22" borderId="20" xfId="4" applyFont="1" applyFill="1" applyBorder="1" applyAlignment="1">
      <alignment horizontal="center"/>
    </xf>
    <xf numFmtId="0" fontId="133" fillId="0" borderId="0" xfId="4" applyFont="1" applyAlignment="1">
      <alignment horizontal="center"/>
    </xf>
    <xf numFmtId="0" fontId="134" fillId="22" borderId="22" xfId="4" applyFont="1" applyFill="1" applyBorder="1"/>
    <xf numFmtId="0" fontId="135" fillId="22" borderId="20" xfId="4" applyFont="1" applyFill="1" applyBorder="1" applyAlignment="1">
      <alignment horizontal="center"/>
    </xf>
    <xf numFmtId="0" fontId="136" fillId="22" borderId="21" xfId="4" applyFont="1" applyFill="1" applyBorder="1" applyAlignment="1">
      <alignment horizontal="center"/>
    </xf>
    <xf numFmtId="0" fontId="137" fillId="22" borderId="20" xfId="4" applyFont="1" applyFill="1" applyBorder="1" applyAlignment="1">
      <alignment horizontal="center"/>
    </xf>
    <xf numFmtId="0" fontId="131" fillId="22" borderId="17" xfId="4" applyFont="1" applyFill="1" applyBorder="1" applyAlignment="1">
      <alignment horizontal="center"/>
    </xf>
    <xf numFmtId="0" fontId="135" fillId="23" borderId="0" xfId="4" applyFont="1" applyFill="1" applyAlignment="1">
      <alignment horizontal="center"/>
    </xf>
    <xf numFmtId="0" fontId="135" fillId="22" borderId="19" xfId="4" applyFont="1" applyFill="1" applyBorder="1"/>
    <xf numFmtId="0" fontId="136" fillId="22" borderId="17" xfId="4" applyFont="1" applyFill="1" applyBorder="1" applyAlignment="1">
      <alignment horizontal="center"/>
    </xf>
    <xf numFmtId="0" fontId="138" fillId="22" borderId="18" xfId="4" applyFont="1" applyFill="1" applyBorder="1" applyAlignment="1">
      <alignment horizontal="center"/>
    </xf>
    <xf numFmtId="0" fontId="138" fillId="22" borderId="17" xfId="4" applyFont="1" applyFill="1" applyBorder="1" applyAlignment="1">
      <alignment horizontal="center"/>
    </xf>
    <xf numFmtId="0" fontId="139" fillId="24" borderId="0" xfId="4" applyFont="1" applyFill="1" applyAlignment="1">
      <alignment horizontal="center"/>
    </xf>
    <xf numFmtId="0" fontId="135" fillId="22" borderId="23" xfId="4" applyFont="1" applyFill="1" applyBorder="1"/>
    <xf numFmtId="0" fontId="136" fillId="22" borderId="0" xfId="4" applyFont="1" applyFill="1" applyAlignment="1">
      <alignment horizontal="center"/>
    </xf>
    <xf numFmtId="0" fontId="138" fillId="22" borderId="24" xfId="4" applyFont="1" applyFill="1" applyBorder="1" applyAlignment="1">
      <alignment horizontal="center"/>
    </xf>
    <xf numFmtId="0" fontId="138" fillId="22" borderId="0" xfId="4" applyFont="1" applyFill="1" applyAlignment="1">
      <alignment horizontal="center"/>
    </xf>
    <xf numFmtId="0" fontId="129" fillId="11" borderId="0" xfId="4" applyFont="1" applyFill="1"/>
    <xf numFmtId="0" fontId="123" fillId="11" borderId="0" xfId="4" applyFont="1" applyFill="1" applyAlignment="1">
      <alignment horizontal="center"/>
    </xf>
    <xf numFmtId="0" fontId="131" fillId="11" borderId="0" xfId="4" applyFont="1" applyFill="1" applyAlignment="1">
      <alignment horizontal="center"/>
    </xf>
    <xf numFmtId="0" fontId="140" fillId="16" borderId="0" xfId="4" applyFont="1" applyFill="1" applyAlignment="1">
      <alignment horizontal="center"/>
    </xf>
    <xf numFmtId="0" fontId="140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118" fillId="0" borderId="0" xfId="4" quotePrefix="1" applyFont="1" applyAlignment="1">
      <alignment horizontal="center"/>
    </xf>
    <xf numFmtId="0" fontId="141" fillId="0" borderId="0" xfId="0" applyFont="1" applyAlignment="1">
      <alignment vertical="center"/>
    </xf>
    <xf numFmtId="0" fontId="142" fillId="0" borderId="0" xfId="4" applyFont="1"/>
    <xf numFmtId="0" fontId="144" fillId="15" borderId="16" xfId="0" applyFont="1" applyFill="1" applyBorder="1" applyAlignment="1">
      <alignment horizontal="center" vertical="center"/>
    </xf>
    <xf numFmtId="0" fontId="147" fillId="9" borderId="0" xfId="4" applyFont="1" applyFill="1"/>
    <xf numFmtId="0" fontId="66" fillId="26" borderId="0" xfId="4" applyFont="1" applyFill="1"/>
    <xf numFmtId="0" fontId="146" fillId="26" borderId="0" xfId="4" applyFont="1" applyFill="1"/>
    <xf numFmtId="49" fontId="147" fillId="9" borderId="0" xfId="4" applyNumberFormat="1" applyFont="1" applyFill="1"/>
    <xf numFmtId="0" fontId="18" fillId="0" borderId="0" xfId="4" applyFont="1"/>
    <xf numFmtId="0" fontId="148" fillId="0" borderId="0" xfId="4" applyFont="1"/>
    <xf numFmtId="0" fontId="128" fillId="25" borderId="25" xfId="4" applyFont="1" applyFill="1" applyBorder="1" applyAlignment="1">
      <alignment horizontal="center"/>
    </xf>
    <xf numFmtId="0" fontId="128" fillId="25" borderId="26" xfId="4" applyFont="1" applyFill="1" applyBorder="1" applyAlignment="1">
      <alignment horizontal="center"/>
    </xf>
    <xf numFmtId="0" fontId="14" fillId="0" borderId="25" xfId="4" applyFont="1" applyBorder="1" applyAlignment="1">
      <alignment horizontal="center"/>
    </xf>
    <xf numFmtId="0" fontId="132" fillId="0" borderId="25" xfId="4" applyFont="1" applyBorder="1" applyAlignment="1">
      <alignment horizontal="center"/>
    </xf>
    <xf numFmtId="0" fontId="14" fillId="0" borderId="26" xfId="4" applyFont="1" applyBorder="1" applyAlignment="1">
      <alignment horizontal="center"/>
    </xf>
    <xf numFmtId="0" fontId="140" fillId="0" borderId="25" xfId="4" applyFont="1" applyBorder="1" applyAlignment="1">
      <alignment horizontal="center"/>
    </xf>
    <xf numFmtId="0" fontId="149" fillId="0" borderId="0" xfId="4" applyFont="1"/>
    <xf numFmtId="0" fontId="145" fillId="9" borderId="0" xfId="4" applyFont="1" applyFill="1" applyAlignment="1">
      <alignment horizontal="center"/>
    </xf>
    <xf numFmtId="0" fontId="150" fillId="9" borderId="0" xfId="4" applyFont="1" applyFill="1" applyAlignment="1">
      <alignment horizontal="center"/>
    </xf>
    <xf numFmtId="0" fontId="115" fillId="0" borderId="0" xfId="0" applyFont="1" applyAlignment="1">
      <alignment horizontal="left" vertical="center"/>
    </xf>
    <xf numFmtId="0" fontId="6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51" fillId="9" borderId="0" xfId="4" applyFont="1" applyFill="1"/>
    <xf numFmtId="0" fontId="14" fillId="0" borderId="0" xfId="4" applyFont="1" applyAlignment="1">
      <alignment horizontal="right"/>
    </xf>
    <xf numFmtId="0" fontId="152" fillId="0" borderId="0" xfId="4" applyFont="1" applyAlignment="1">
      <alignment horizontal="center"/>
    </xf>
    <xf numFmtId="0" fontId="128" fillId="25" borderId="27" xfId="4" applyFont="1" applyFill="1" applyBorder="1" applyAlignment="1">
      <alignment horizontal="center"/>
    </xf>
    <xf numFmtId="0" fontId="153" fillId="0" borderId="0" xfId="4" applyFont="1" applyAlignment="1">
      <alignment horizontal="right"/>
    </xf>
    <xf numFmtId="0" fontId="154" fillId="9" borderId="0" xfId="4" applyFont="1" applyFill="1"/>
    <xf numFmtId="0" fontId="146" fillId="0" borderId="0" xfId="4" applyFont="1"/>
    <xf numFmtId="0" fontId="14" fillId="0" borderId="0" xfId="4" applyFont="1" applyAlignment="1">
      <alignment horizontal="left"/>
    </xf>
    <xf numFmtId="0" fontId="155" fillId="0" borderId="0" xfId="4" applyFont="1" applyAlignment="1">
      <alignment horizontal="left"/>
    </xf>
    <xf numFmtId="0" fontId="156" fillId="0" borderId="0" xfId="4" applyFont="1"/>
    <xf numFmtId="0" fontId="151" fillId="0" borderId="0" xfId="4" applyFont="1"/>
    <xf numFmtId="0" fontId="145" fillId="0" borderId="0" xfId="4" applyFont="1" applyAlignment="1">
      <alignment horizontal="center"/>
    </xf>
    <xf numFmtId="0" fontId="150" fillId="0" borderId="0" xfId="4" applyFont="1" applyAlignment="1">
      <alignment horizontal="center"/>
    </xf>
    <xf numFmtId="0" fontId="157" fillId="0" borderId="0" xfId="4" applyFont="1" applyAlignment="1">
      <alignment horizontal="center"/>
    </xf>
    <xf numFmtId="0" fontId="158" fillId="0" borderId="0" xfId="4" applyFont="1" applyAlignment="1">
      <alignment horizontal="center"/>
    </xf>
    <xf numFmtId="0" fontId="146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9" xfId="0" applyFont="1" applyFill="1" applyBorder="1" applyAlignment="1">
      <alignment horizontal="left" vertical="center" indent="1"/>
    </xf>
    <xf numFmtId="0" fontId="23" fillId="4" borderId="18" xfId="0" applyFont="1" applyFill="1" applyBorder="1" applyAlignment="1">
      <alignment horizontal="center" vertical="center"/>
    </xf>
    <xf numFmtId="0" fontId="25" fillId="6" borderId="23" xfId="0" applyFont="1" applyFill="1" applyBorder="1" applyAlignment="1">
      <alignment horizontal="left" vertical="center" indent="1"/>
    </xf>
    <xf numFmtId="0" fontId="23" fillId="4" borderId="24" xfId="0" applyFont="1" applyFill="1" applyBorder="1" applyAlignment="1">
      <alignment horizontal="center" vertical="center"/>
    </xf>
    <xf numFmtId="0" fontId="25" fillId="6" borderId="22" xfId="0" applyFont="1" applyFill="1" applyBorder="1" applyAlignment="1">
      <alignment horizontal="left" vertical="center" indent="1"/>
    </xf>
    <xf numFmtId="0" fontId="23" fillId="4" borderId="21" xfId="0" applyFont="1" applyFill="1" applyBorder="1" applyAlignment="1">
      <alignment horizontal="center" vertical="center"/>
    </xf>
    <xf numFmtId="0" fontId="118" fillId="0" borderId="0" xfId="4" applyFont="1"/>
    <xf numFmtId="0" fontId="70" fillId="7" borderId="9" xfId="0" applyFont="1" applyFill="1" applyBorder="1" applyAlignment="1">
      <alignment horizontal="center" vertical="center"/>
    </xf>
    <xf numFmtId="179" fontId="159" fillId="2" borderId="9" xfId="0" applyNumberFormat="1" applyFont="1" applyFill="1" applyBorder="1" applyAlignment="1">
      <alignment horizontal="center" vertical="center"/>
    </xf>
    <xf numFmtId="0" fontId="159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60" fillId="2" borderId="0" xfId="0" applyFont="1" applyFill="1" applyAlignment="1">
      <alignment horizontal="center" vertical="center"/>
    </xf>
    <xf numFmtId="0" fontId="160" fillId="2" borderId="20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left" vertical="center" indent="2"/>
    </xf>
    <xf numFmtId="0" fontId="23" fillId="8" borderId="20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7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20" xfId="0" quotePrefix="1" applyFont="1" applyFill="1" applyBorder="1" applyAlignment="1">
      <alignment horizontal="left" vertical="center" indent="2"/>
    </xf>
    <xf numFmtId="0" fontId="50" fillId="8" borderId="9" xfId="0" applyFont="1" applyFill="1" applyBorder="1" applyAlignment="1">
      <alignment horizontal="left" vertical="center" indent="2"/>
    </xf>
    <xf numFmtId="0" fontId="66" fillId="8" borderId="20" xfId="0" quotePrefix="1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left" vertical="center" indent="1"/>
    </xf>
    <xf numFmtId="0" fontId="25" fillId="9" borderId="23" xfId="0" applyFont="1" applyFill="1" applyBorder="1" applyAlignment="1">
      <alignment horizontal="left" vertical="center" indent="1"/>
    </xf>
    <xf numFmtId="0" fontId="25" fillId="9" borderId="22" xfId="0" applyFont="1" applyFill="1" applyBorder="1" applyAlignment="1">
      <alignment horizontal="left" vertical="center" indent="1"/>
    </xf>
    <xf numFmtId="0" fontId="161" fillId="7" borderId="0" xfId="0" applyFont="1" applyFill="1" applyAlignment="1">
      <alignment horizontal="center" vertical="center"/>
    </xf>
    <xf numFmtId="0" fontId="128" fillId="25" borderId="0" xfId="4" applyFont="1" applyFill="1" applyAlignment="1">
      <alignment horizontal="center"/>
    </xf>
    <xf numFmtId="0" fontId="155" fillId="9" borderId="0" xfId="4" applyFont="1" applyFill="1" applyAlignment="1">
      <alignment horizontal="left"/>
    </xf>
    <xf numFmtId="0" fontId="14" fillId="9" borderId="0" xfId="4" applyFont="1" applyFill="1"/>
    <xf numFmtId="0" fontId="113" fillId="5" borderId="17" xfId="0" applyFont="1" applyFill="1" applyBorder="1" applyAlignment="1">
      <alignment horizontal="center" vertical="center"/>
    </xf>
    <xf numFmtId="0" fontId="114" fillId="7" borderId="17" xfId="0" applyFont="1" applyFill="1" applyBorder="1" applyAlignment="1">
      <alignment horizontal="center" vertical="center"/>
    </xf>
    <xf numFmtId="0" fontId="113" fillId="8" borderId="17" xfId="0" applyFont="1" applyFill="1" applyBorder="1" applyAlignment="1">
      <alignment horizontal="center" vertical="center"/>
    </xf>
    <xf numFmtId="0" fontId="113" fillId="2" borderId="17" xfId="0" applyFont="1" applyFill="1" applyBorder="1" applyAlignment="1">
      <alignment horizontal="center" vertical="center"/>
    </xf>
    <xf numFmtId="0" fontId="113" fillId="4" borderId="17" xfId="0" applyFont="1" applyFill="1" applyBorder="1" applyAlignment="1">
      <alignment horizontal="center" vertical="center"/>
    </xf>
    <xf numFmtId="0" fontId="162" fillId="9" borderId="19" xfId="0" applyFont="1" applyFill="1" applyBorder="1" applyAlignment="1">
      <alignment horizontal="left" vertical="center" indent="1"/>
    </xf>
    <xf numFmtId="0" fontId="162" fillId="9" borderId="23" xfId="0" applyFont="1" applyFill="1" applyBorder="1" applyAlignment="1">
      <alignment horizontal="left" vertical="center" indent="1"/>
    </xf>
    <xf numFmtId="0" fontId="162" fillId="9" borderId="22" xfId="0" applyFont="1" applyFill="1" applyBorder="1" applyAlignment="1">
      <alignment horizontal="left" vertical="center" indent="1"/>
    </xf>
    <xf numFmtId="0" fontId="162" fillId="9" borderId="8" xfId="0" applyFont="1" applyFill="1" applyBorder="1" applyAlignment="1">
      <alignment horizontal="left" vertical="center" indent="1"/>
    </xf>
    <xf numFmtId="0" fontId="162" fillId="6" borderId="19" xfId="0" applyFont="1" applyFill="1" applyBorder="1" applyAlignment="1">
      <alignment horizontal="left" vertical="center" indent="1"/>
    </xf>
    <xf numFmtId="0" fontId="162" fillId="6" borderId="22" xfId="0" applyFont="1" applyFill="1" applyBorder="1" applyAlignment="1">
      <alignment horizontal="left" vertical="center" indent="1"/>
    </xf>
    <xf numFmtId="0" fontId="162" fillId="6" borderId="23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46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63" fillId="2" borderId="4" xfId="0" applyNumberFormat="1" applyFont="1" applyFill="1" applyBorder="1" applyAlignment="1">
      <alignment vertical="center"/>
    </xf>
    <xf numFmtId="178" fontId="164" fillId="15" borderId="16" xfId="0" applyNumberFormat="1" applyFont="1" applyFill="1" applyBorder="1" applyAlignment="1">
      <alignment horizontal="center" vertical="center"/>
    </xf>
    <xf numFmtId="0" fontId="165" fillId="15" borderId="1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8" fontId="169" fillId="14" borderId="16" xfId="0" applyNumberFormat="1" applyFont="1" applyFill="1" applyBorder="1" applyAlignment="1">
      <alignment horizontal="center" vertical="center"/>
    </xf>
    <xf numFmtId="178" fontId="173" fillId="2" borderId="3" xfId="0" applyNumberFormat="1" applyFont="1" applyFill="1" applyBorder="1"/>
    <xf numFmtId="178" fontId="174" fillId="2" borderId="1" xfId="0" applyNumberFormat="1" applyFont="1" applyFill="1" applyBorder="1"/>
    <xf numFmtId="178" fontId="172" fillId="4" borderId="1" xfId="0" applyNumberFormat="1" applyFont="1" applyFill="1" applyBorder="1"/>
    <xf numFmtId="178" fontId="175" fillId="4" borderId="3" xfId="0" applyNumberFormat="1" applyFont="1" applyFill="1" applyBorder="1"/>
    <xf numFmtId="178" fontId="176" fillId="4" borderId="4" xfId="0" applyNumberFormat="1" applyFont="1" applyFill="1" applyBorder="1" applyAlignment="1">
      <alignment vertical="center"/>
    </xf>
    <xf numFmtId="178" fontId="176" fillId="2" borderId="4" xfId="0" applyNumberFormat="1" applyFont="1" applyFill="1" applyBorder="1" applyAlignment="1">
      <alignment vertical="center"/>
    </xf>
    <xf numFmtId="0" fontId="176" fillId="4" borderId="4" xfId="0" applyFont="1" applyFill="1" applyBorder="1" applyAlignment="1">
      <alignment vertical="center"/>
    </xf>
    <xf numFmtId="178" fontId="177" fillId="14" borderId="16" xfId="0" applyNumberFormat="1" applyFont="1" applyFill="1" applyBorder="1" applyAlignment="1">
      <alignment horizontal="center" vertical="center"/>
    </xf>
    <xf numFmtId="0" fontId="54" fillId="4" borderId="16" xfId="0" applyFont="1" applyFill="1" applyBorder="1" applyAlignment="1">
      <alignment horizontal="center" vertical="center"/>
    </xf>
    <xf numFmtId="0" fontId="69" fillId="4" borderId="16" xfId="0" applyFont="1" applyFill="1" applyBorder="1" applyAlignment="1">
      <alignment horizontal="center" vertical="center"/>
    </xf>
    <xf numFmtId="0" fontId="54" fillId="4" borderId="16" xfId="0" quotePrefix="1" applyFont="1" applyFill="1" applyBorder="1" applyAlignment="1">
      <alignment horizontal="center" vertical="center"/>
    </xf>
    <xf numFmtId="0" fontId="166" fillId="4" borderId="16" xfId="0" applyFont="1" applyFill="1" applyBorder="1" applyAlignment="1">
      <alignment horizontal="center" vertical="center"/>
    </xf>
    <xf numFmtId="0" fontId="171" fillId="4" borderId="16" xfId="0" applyFont="1" applyFill="1" applyBorder="1" applyAlignment="1">
      <alignment horizontal="center" vertical="center"/>
    </xf>
    <xf numFmtId="0" fontId="71" fillId="4" borderId="16" xfId="0" applyFont="1" applyFill="1" applyBorder="1" applyAlignment="1">
      <alignment horizontal="center" vertical="center"/>
    </xf>
    <xf numFmtId="0" fontId="27" fillId="13" borderId="28" xfId="0" applyFont="1" applyFill="1" applyBorder="1" applyAlignment="1">
      <alignment horizontal="center" vertical="center"/>
    </xf>
    <xf numFmtId="0" fontId="167" fillId="8" borderId="28" xfId="0" applyFont="1" applyFill="1" applyBorder="1" applyAlignment="1">
      <alignment horizontal="center" vertical="center"/>
    </xf>
    <xf numFmtId="0" fontId="168" fillId="2" borderId="28" xfId="0" applyFont="1" applyFill="1" applyBorder="1" applyAlignment="1">
      <alignment horizontal="center" vertical="center"/>
    </xf>
    <xf numFmtId="0" fontId="167" fillId="4" borderId="28" xfId="0" applyFont="1" applyFill="1" applyBorder="1" applyAlignment="1">
      <alignment horizontal="center" vertical="center"/>
    </xf>
    <xf numFmtId="0" fontId="27" fillId="7" borderId="28" xfId="0" applyFont="1" applyFill="1" applyBorder="1" applyAlignment="1">
      <alignment horizontal="center" vertical="center"/>
    </xf>
    <xf numFmtId="0" fontId="178" fillId="4" borderId="16" xfId="0" applyFont="1" applyFill="1" applyBorder="1" applyAlignment="1">
      <alignment horizontal="center" vertical="center"/>
    </xf>
    <xf numFmtId="0" fontId="181" fillId="7" borderId="28" xfId="0" applyFont="1" applyFill="1" applyBorder="1" applyAlignment="1">
      <alignment horizontal="center" vertical="center"/>
    </xf>
    <xf numFmtId="0" fontId="182" fillId="0" borderId="0" xfId="0" applyFont="1"/>
    <xf numFmtId="0" fontId="183" fillId="0" borderId="0" xfId="0" applyFont="1"/>
    <xf numFmtId="0" fontId="6" fillId="2" borderId="2" xfId="0" quotePrefix="1" applyFont="1" applyFill="1" applyBorder="1" applyAlignment="1">
      <alignment horizontal="center"/>
    </xf>
    <xf numFmtId="0" fontId="167" fillId="7" borderId="28" xfId="0" applyFont="1" applyFill="1" applyBorder="1" applyAlignment="1">
      <alignment horizontal="center" vertical="center"/>
    </xf>
    <xf numFmtId="0" fontId="167" fillId="2" borderId="28" xfId="0" applyFont="1" applyFill="1" applyBorder="1" applyAlignment="1">
      <alignment horizontal="center" vertical="center"/>
    </xf>
    <xf numFmtId="0" fontId="190" fillId="4" borderId="0" xfId="0" applyFont="1" applyFill="1" applyAlignment="1">
      <alignment horizontal="center" vertical="center"/>
    </xf>
    <xf numFmtId="0" fontId="191" fillId="7" borderId="0" xfId="0" applyFont="1" applyFill="1" applyAlignment="1">
      <alignment horizontal="center" vertical="center"/>
    </xf>
    <xf numFmtId="0" fontId="192" fillId="8" borderId="0" xfId="0" applyFont="1" applyFill="1" applyAlignment="1">
      <alignment horizontal="center" vertical="center"/>
    </xf>
    <xf numFmtId="0" fontId="192" fillId="2" borderId="0" xfId="0" applyFont="1" applyFill="1" applyAlignment="1">
      <alignment horizontal="center" vertical="center"/>
    </xf>
    <xf numFmtId="0" fontId="193" fillId="3" borderId="6" xfId="0" applyFont="1" applyFill="1" applyBorder="1" applyAlignment="1">
      <alignment vertical="center"/>
    </xf>
    <xf numFmtId="0" fontId="27" fillId="13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center" vertical="center"/>
    </xf>
    <xf numFmtId="0" fontId="181" fillId="7" borderId="16" xfId="0" applyFont="1" applyFill="1" applyBorder="1" applyAlignment="1">
      <alignment horizontal="center" vertical="center"/>
    </xf>
    <xf numFmtId="0" fontId="167" fillId="8" borderId="16" xfId="0" applyFont="1" applyFill="1" applyBorder="1" applyAlignment="1">
      <alignment horizontal="center" vertical="center"/>
    </xf>
    <xf numFmtId="0" fontId="25" fillId="11" borderId="16" xfId="0" applyFont="1" applyFill="1" applyBorder="1" applyAlignment="1">
      <alignment horizontal="left" vertical="center" indent="1"/>
    </xf>
    <xf numFmtId="0" fontId="185" fillId="4" borderId="16" xfId="0" applyFont="1" applyFill="1" applyBorder="1" applyAlignment="1">
      <alignment horizontal="center" vertical="center"/>
    </xf>
    <xf numFmtId="0" fontId="26" fillId="7" borderId="16" xfId="0" applyFont="1" applyFill="1" applyBorder="1" applyAlignment="1">
      <alignment horizontal="center" vertical="center"/>
    </xf>
    <xf numFmtId="0" fontId="184" fillId="8" borderId="16" xfId="0" applyFont="1" applyFill="1" applyBorder="1" applyAlignment="1">
      <alignment horizontal="center" vertical="center"/>
    </xf>
    <xf numFmtId="0" fontId="183" fillId="9" borderId="0" xfId="0" applyFont="1" applyFill="1"/>
    <xf numFmtId="0" fontId="8" fillId="9" borderId="0" xfId="0" applyFont="1" applyFill="1"/>
    <xf numFmtId="0" fontId="111" fillId="0" borderId="0" xfId="0" applyFont="1"/>
    <xf numFmtId="0" fontId="64" fillId="0" borderId="0" xfId="4" applyFont="1"/>
    <xf numFmtId="0" fontId="194" fillId="0" borderId="0" xfId="0" applyFont="1"/>
    <xf numFmtId="0" fontId="194" fillId="0" borderId="0" xfId="4" applyFont="1"/>
    <xf numFmtId="0" fontId="195" fillId="0" borderId="0" xfId="4" applyFont="1"/>
    <xf numFmtId="0" fontId="64" fillId="9" borderId="0" xfId="4" applyFont="1" applyFill="1"/>
    <xf numFmtId="0" fontId="180" fillId="4" borderId="16" xfId="0" quotePrefix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8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96" fillId="10" borderId="4" xfId="3" applyFont="1" applyFill="1" applyBorder="1" applyAlignment="1">
      <alignment horizontal="center"/>
    </xf>
    <xf numFmtId="0" fontId="95" fillId="10" borderId="5" xfId="3" applyFont="1" applyFill="1" applyBorder="1" applyAlignment="1">
      <alignment horizontal="center"/>
    </xf>
    <xf numFmtId="0" fontId="95" fillId="10" borderId="6" xfId="3" applyFont="1" applyFill="1" applyBorder="1" applyAlignment="1">
      <alignment horizontal="center"/>
    </xf>
    <xf numFmtId="0" fontId="9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99" fillId="10" borderId="1" xfId="3" applyFont="1" applyFill="1" applyBorder="1" applyAlignment="1">
      <alignment horizontal="center"/>
    </xf>
    <xf numFmtId="0" fontId="91" fillId="10" borderId="2" xfId="3" applyFont="1" applyFill="1" applyBorder="1" applyAlignment="1">
      <alignment horizontal="center"/>
    </xf>
    <xf numFmtId="0" fontId="91" fillId="10" borderId="3" xfId="3" applyFont="1" applyFill="1" applyBorder="1" applyAlignment="1">
      <alignment horizontal="center"/>
    </xf>
    <xf numFmtId="0" fontId="99" fillId="16" borderId="1" xfId="3" applyFont="1" applyFill="1" applyBorder="1" applyAlignment="1">
      <alignment horizontal="center"/>
    </xf>
    <xf numFmtId="0" fontId="91" fillId="16" borderId="2" xfId="3" applyFont="1" applyFill="1" applyBorder="1" applyAlignment="1">
      <alignment horizontal="center"/>
    </xf>
    <xf numFmtId="0" fontId="91" fillId="16" borderId="3" xfId="3" applyFont="1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93" fillId="16" borderId="5" xfId="3" applyFont="1" applyFill="1" applyBorder="1" applyAlignment="1">
      <alignment horizontal="center"/>
    </xf>
    <xf numFmtId="0" fontId="93" fillId="16" borderId="6" xfId="3" applyFont="1" applyFill="1" applyBorder="1" applyAlignment="1">
      <alignment horizontal="center"/>
    </xf>
    <xf numFmtId="0" fontId="92" fillId="10" borderId="5" xfId="3" applyFont="1" applyFill="1" applyBorder="1" applyAlignment="1">
      <alignment horizontal="center"/>
    </xf>
    <xf numFmtId="0" fontId="92" fillId="10" borderId="6" xfId="3" applyFont="1" applyFill="1" applyBorder="1" applyAlignment="1">
      <alignment horizontal="center"/>
    </xf>
    <xf numFmtId="0" fontId="98" fillId="10" borderId="4" xfId="3" applyFont="1" applyFill="1" applyBorder="1" applyAlignment="1">
      <alignment horizontal="center"/>
    </xf>
    <xf numFmtId="0" fontId="97" fillId="10" borderId="5" xfId="3" applyFont="1" applyFill="1" applyBorder="1" applyAlignment="1">
      <alignment horizontal="center"/>
    </xf>
    <xf numFmtId="0" fontId="97" fillId="10" borderId="6" xfId="3" applyFont="1" applyFill="1" applyBorder="1" applyAlignment="1">
      <alignment horizontal="center"/>
    </xf>
    <xf numFmtId="0" fontId="9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5" fillId="10" borderId="4" xfId="3" applyFont="1" applyFill="1" applyBorder="1" applyAlignment="1">
      <alignment horizontal="center"/>
    </xf>
    <xf numFmtId="0" fontId="103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101" fillId="9" borderId="4" xfId="3" applyFont="1" applyFill="1" applyBorder="1" applyAlignment="1">
      <alignment horizontal="center"/>
    </xf>
    <xf numFmtId="0" fontId="101" fillId="9" borderId="5" xfId="3" applyFont="1" applyFill="1" applyBorder="1" applyAlignment="1">
      <alignment horizontal="center"/>
    </xf>
    <xf numFmtId="0" fontId="101" fillId="9" borderId="6" xfId="3" applyFont="1" applyFill="1" applyBorder="1" applyAlignment="1">
      <alignment horizontal="center"/>
    </xf>
    <xf numFmtId="0" fontId="110" fillId="9" borderId="1" xfId="3" applyFont="1" applyFill="1" applyBorder="1" applyAlignment="1">
      <alignment horizontal="center"/>
    </xf>
    <xf numFmtId="0" fontId="109" fillId="9" borderId="2" xfId="3" applyFont="1" applyFill="1" applyBorder="1" applyAlignment="1">
      <alignment horizontal="center"/>
    </xf>
    <xf numFmtId="0" fontId="109" fillId="9" borderId="3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107" fillId="16" borderId="1" xfId="3" quotePrefix="1" applyFont="1" applyFill="1" applyBorder="1" applyAlignment="1">
      <alignment horizontal="center"/>
    </xf>
    <xf numFmtId="0" fontId="96" fillId="16" borderId="4" xfId="3" quotePrefix="1" applyFont="1" applyFill="1" applyBorder="1" applyAlignment="1">
      <alignment horizontal="center"/>
    </xf>
    <xf numFmtId="0" fontId="95" fillId="16" borderId="5" xfId="3" applyFont="1" applyFill="1" applyBorder="1" applyAlignment="1">
      <alignment horizontal="center"/>
    </xf>
    <xf numFmtId="0" fontId="95" fillId="16" borderId="6" xfId="3" applyFont="1" applyFill="1" applyBorder="1" applyAlignment="1">
      <alignment horizontal="center"/>
    </xf>
    <xf numFmtId="0" fontId="9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18" fillId="9" borderId="0" xfId="2" applyFont="1" applyFill="1" applyAlignment="1">
      <alignment horizontal="left" vertical="center"/>
    </xf>
    <xf numFmtId="0" fontId="20" fillId="10" borderId="0" xfId="2" applyFont="1" applyFill="1" applyAlignment="1">
      <alignment horizontal="left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33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45" fillId="11" borderId="16" xfId="0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5" fillId="12" borderId="8" xfId="0" applyFont="1" applyFill="1" applyBorder="1" applyAlignment="1">
      <alignment horizontal="center"/>
    </xf>
    <xf numFmtId="0" fontId="45" fillId="12" borderId="10" xfId="0" applyFont="1" applyFill="1" applyBorder="1" applyAlignment="1">
      <alignment horizontal="center"/>
    </xf>
    <xf numFmtId="0" fontId="34" fillId="11" borderId="16" xfId="0" applyFont="1" applyFill="1" applyBorder="1" applyAlignment="1">
      <alignment horizontal="center" vertical="center"/>
    </xf>
    <xf numFmtId="0" fontId="47" fillId="11" borderId="16" xfId="0" applyFont="1" applyFill="1" applyBorder="1" applyAlignment="1">
      <alignment horizontal="center" vertical="center"/>
    </xf>
    <xf numFmtId="0" fontId="43" fillId="11" borderId="16" xfId="1" applyFont="1" applyFill="1" applyBorder="1" applyAlignment="1">
      <alignment horizontal="center" vertical="center"/>
    </xf>
    <xf numFmtId="0" fontId="32" fillId="11" borderId="13" xfId="1" applyFont="1" applyFill="1" applyBorder="1" applyAlignment="1">
      <alignment horizontal="center" vertical="center" wrapText="1"/>
    </xf>
    <xf numFmtId="0" fontId="32" fillId="11" borderId="12" xfId="1" applyFont="1" applyFill="1" applyBorder="1" applyAlignment="1">
      <alignment horizontal="center" vertical="center" wrapText="1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32" fillId="11" borderId="8" xfId="1" applyFont="1" applyFill="1" applyBorder="1" applyAlignment="1">
      <alignment horizontal="center" vertical="center" wrapText="1"/>
    </xf>
    <xf numFmtId="0" fontId="32" fillId="11" borderId="9" xfId="1" applyFont="1" applyFill="1" applyBorder="1" applyAlignment="1">
      <alignment horizontal="center" vertical="center" wrapText="1"/>
    </xf>
    <xf numFmtId="0" fontId="32" fillId="11" borderId="10" xfId="1" applyFont="1" applyFill="1" applyBorder="1" applyAlignment="1">
      <alignment horizontal="center" vertical="center" wrapText="1"/>
    </xf>
    <xf numFmtId="0" fontId="32" fillId="11" borderId="11" xfId="1" applyFont="1" applyFill="1" applyBorder="1" applyAlignment="1">
      <alignment horizontal="center" vertical="center"/>
    </xf>
    <xf numFmtId="0" fontId="32" fillId="11" borderId="12" xfId="1" applyFont="1" applyFill="1" applyBorder="1" applyAlignment="1">
      <alignment horizontal="center" vertical="center"/>
    </xf>
    <xf numFmtId="0" fontId="32" fillId="11" borderId="14" xfId="1" applyFont="1" applyFill="1" applyBorder="1" applyAlignment="1">
      <alignment horizontal="center" vertical="center" wrapText="1"/>
    </xf>
    <xf numFmtId="0" fontId="32" fillId="11" borderId="15" xfId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5" fillId="11" borderId="0" xfId="0" applyFont="1" applyFill="1" applyBorder="1" applyAlignment="1">
      <alignment horizontal="left" vertical="center" indent="1"/>
    </xf>
    <xf numFmtId="0" fontId="185" fillId="4" borderId="0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184" fillId="8" borderId="0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3" fillId="4" borderId="0" xfId="0" applyFont="1" applyFill="1" applyBorder="1" applyAlignment="1">
      <alignment horizontal="center" vertical="center"/>
    </xf>
    <xf numFmtId="0" fontId="111" fillId="7" borderId="0" xfId="0" applyFont="1" applyFill="1" applyBorder="1" applyAlignment="1">
      <alignment horizontal="center" vertical="center"/>
    </xf>
    <xf numFmtId="0" fontId="23" fillId="8" borderId="0" xfId="0" applyFont="1" applyFill="1" applyBorder="1" applyAlignment="1">
      <alignment horizontal="left" vertical="center" indent="3"/>
    </xf>
    <xf numFmtId="0" fontId="23" fillId="2" borderId="24" xfId="0" applyFont="1" applyFill="1" applyBorder="1" applyAlignment="1">
      <alignment horizontal="center" vertical="center"/>
    </xf>
    <xf numFmtId="0" fontId="50" fillId="2" borderId="24" xfId="0" applyFont="1" applyFill="1" applyBorder="1" applyAlignment="1">
      <alignment horizontal="center" vertical="center"/>
    </xf>
    <xf numFmtId="0" fontId="23" fillId="2" borderId="21" xfId="0" applyFont="1" applyFill="1" applyBorder="1" applyAlignment="1">
      <alignment horizontal="center" vertical="center"/>
    </xf>
    <xf numFmtId="0" fontId="23" fillId="4" borderId="20" xfId="0" quotePrefix="1" applyFont="1" applyFill="1" applyBorder="1" applyAlignment="1">
      <alignment horizontal="center" vertical="center"/>
    </xf>
    <xf numFmtId="0" fontId="23" fillId="4" borderId="17" xfId="0" quotePrefix="1" applyFont="1" applyFill="1" applyBorder="1" applyAlignment="1">
      <alignment horizontal="center" vertical="center"/>
    </xf>
    <xf numFmtId="0" fontId="23" fillId="4" borderId="0" xfId="0" quotePrefix="1" applyFont="1" applyFill="1" applyBorder="1" applyAlignment="1">
      <alignment horizontal="center" vertical="center"/>
    </xf>
    <xf numFmtId="0" fontId="25" fillId="6" borderId="0" xfId="0" applyFont="1" applyFill="1" applyBorder="1" applyAlignment="1">
      <alignment horizontal="left" vertical="center" indent="1"/>
    </xf>
    <xf numFmtId="0" fontId="23" fillId="2" borderId="0" xfId="0" applyFont="1" applyFill="1" applyBorder="1" applyAlignment="1">
      <alignment horizontal="center" vertical="center"/>
    </xf>
    <xf numFmtId="0" fontId="50" fillId="2" borderId="0" xfId="0" applyFont="1" applyFill="1" applyBorder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112" fillId="7" borderId="9" xfId="0" applyFont="1" applyFill="1" applyBorder="1" applyAlignment="1">
      <alignment horizontal="center" vertical="center"/>
    </xf>
    <xf numFmtId="0" fontId="167" fillId="8" borderId="9" xfId="0" applyFont="1" applyFill="1" applyBorder="1" applyAlignment="1">
      <alignment horizontal="center" vertical="center"/>
    </xf>
    <xf numFmtId="0" fontId="167" fillId="2" borderId="10" xfId="0" applyFont="1" applyFill="1" applyBorder="1" applyAlignment="1">
      <alignment horizontal="center" vertical="center"/>
    </xf>
    <xf numFmtId="0" fontId="167" fillId="2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5" fillId="26" borderId="0" xfId="0" applyFont="1" applyFill="1" applyAlignment="1">
      <alignment horizontal="left" vertical="center" indent="1"/>
    </xf>
    <xf numFmtId="0" fontId="25" fillId="26" borderId="17" xfId="0" applyFont="1" applyFill="1" applyBorder="1" applyAlignment="1">
      <alignment horizontal="left" vertical="center" indent="1"/>
    </xf>
    <xf numFmtId="0" fontId="25" fillId="26" borderId="20" xfId="0" applyFont="1" applyFill="1" applyBorder="1" applyAlignment="1">
      <alignment horizontal="left" vertical="center" indent="1"/>
    </xf>
    <xf numFmtId="0" fontId="25" fillId="26" borderId="9" xfId="0" applyFont="1" applyFill="1" applyBorder="1" applyAlignment="1">
      <alignment horizontal="left" vertical="center" indent="1"/>
    </xf>
    <xf numFmtId="0" fontId="25" fillId="11" borderId="17" xfId="0" applyFont="1" applyFill="1" applyBorder="1" applyAlignment="1">
      <alignment horizontal="left" vertical="center" indent="1"/>
    </xf>
    <xf numFmtId="0" fontId="25" fillId="11" borderId="19" xfId="0" applyFont="1" applyFill="1" applyBorder="1" applyAlignment="1">
      <alignment horizontal="left" vertical="center" indent="1"/>
    </xf>
    <xf numFmtId="0" fontId="25" fillId="11" borderId="23" xfId="0" applyFont="1" applyFill="1" applyBorder="1" applyAlignment="1">
      <alignment horizontal="left" vertical="center" indent="1"/>
    </xf>
    <xf numFmtId="0" fontId="25" fillId="11" borderId="22" xfId="0" applyFont="1" applyFill="1" applyBorder="1" applyAlignment="1">
      <alignment horizontal="left" vertical="center" indent="1"/>
    </xf>
    <xf numFmtId="178" fontId="11" fillId="3" borderId="5" xfId="0" applyNumberFormat="1" applyFont="1" applyFill="1" applyBorder="1" applyAlignment="1">
      <alignment horizontal="center"/>
    </xf>
    <xf numFmtId="9" fontId="6" fillId="3" borderId="2" xfId="0" quotePrefix="1" applyNumberFormat="1" applyFont="1" applyFill="1" applyBorder="1" applyAlignment="1">
      <alignment horizontal="center"/>
    </xf>
    <xf numFmtId="9" fontId="6" fillId="3" borderId="3" xfId="0" quotePrefix="1" applyNumberFormat="1" applyFont="1" applyFill="1" applyBorder="1" applyAlignment="1">
      <alignment horizontal="center"/>
    </xf>
    <xf numFmtId="0" fontId="196" fillId="0" borderId="0" xfId="0" applyFont="1" applyAlignment="1">
      <alignment horizontal="left" vertical="center"/>
    </xf>
    <xf numFmtId="0" fontId="198" fillId="4" borderId="0" xfId="0" applyFont="1" applyFill="1" applyBorder="1" applyAlignment="1">
      <alignment horizontal="center" vertical="center"/>
    </xf>
    <xf numFmtId="0" fontId="199" fillId="7" borderId="0" xfId="0" applyFont="1" applyFill="1" applyBorder="1" applyAlignment="1">
      <alignment horizontal="center" vertical="center"/>
    </xf>
    <xf numFmtId="0" fontId="198" fillId="8" borderId="0" xfId="0" applyFont="1" applyFill="1" applyBorder="1" applyAlignment="1">
      <alignment horizontal="left" vertical="center" indent="3"/>
    </xf>
    <xf numFmtId="0" fontId="198" fillId="4" borderId="0" xfId="0" quotePrefix="1" applyFont="1" applyFill="1" applyBorder="1" applyAlignment="1">
      <alignment horizontal="center" vertical="center"/>
    </xf>
    <xf numFmtId="0" fontId="198" fillId="2" borderId="0" xfId="0" applyFont="1" applyFill="1" applyBorder="1" applyAlignment="1">
      <alignment horizontal="center" vertical="center"/>
    </xf>
    <xf numFmtId="0" fontId="27" fillId="5" borderId="28" xfId="0" applyFont="1" applyFill="1" applyBorder="1" applyAlignment="1">
      <alignment horizontal="center" vertical="center"/>
    </xf>
    <xf numFmtId="0" fontId="27" fillId="4" borderId="28" xfId="0" applyFont="1" applyFill="1" applyBorder="1" applyAlignment="1">
      <alignment horizontal="center" vertical="center"/>
    </xf>
    <xf numFmtId="0" fontId="112" fillId="7" borderId="28" xfId="0" applyFont="1" applyFill="1" applyBorder="1" applyAlignment="1">
      <alignment horizontal="center" vertical="center"/>
    </xf>
    <xf numFmtId="0" fontId="200" fillId="0" borderId="0" xfId="0" applyFont="1" applyAlignment="1">
      <alignment horizontal="left" vertical="center" indent="1"/>
    </xf>
    <xf numFmtId="0" fontId="200" fillId="0" borderId="0" xfId="0" applyFont="1" applyAlignment="1">
      <alignment horizontal="center" vertical="center"/>
    </xf>
    <xf numFmtId="0" fontId="201" fillId="0" borderId="0" xfId="0" applyFont="1" applyAlignment="1">
      <alignment horizontal="left" vertical="center"/>
    </xf>
    <xf numFmtId="0" fontId="179" fillId="4" borderId="28" xfId="0" applyFont="1" applyFill="1" applyBorder="1" applyAlignment="1">
      <alignment horizontal="center" vertical="center"/>
    </xf>
    <xf numFmtId="0" fontId="202" fillId="9" borderId="0" xfId="0" applyFont="1" applyFill="1" applyAlignment="1">
      <alignment horizontal="left" vertical="center" indent="1"/>
    </xf>
    <xf numFmtId="0" fontId="203" fillId="4" borderId="0" xfId="0" quotePrefix="1" applyFont="1" applyFill="1" applyBorder="1" applyAlignment="1">
      <alignment horizontal="center" vertical="center"/>
    </xf>
    <xf numFmtId="0" fontId="204" fillId="7" borderId="0" xfId="0" applyFont="1" applyFill="1" applyBorder="1" applyAlignment="1">
      <alignment horizontal="center" vertical="center"/>
    </xf>
    <xf numFmtId="0" fontId="203" fillId="8" borderId="0" xfId="0" applyFont="1" applyFill="1" applyBorder="1" applyAlignment="1">
      <alignment horizontal="left" vertical="center" indent="3"/>
    </xf>
    <xf numFmtId="0" fontId="203" fillId="2" borderId="0" xfId="0" applyFont="1" applyFill="1" applyBorder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118" fillId="4" borderId="17" xfId="0" quotePrefix="1" applyFont="1" applyFill="1" applyBorder="1" applyAlignment="1">
      <alignment horizontal="center" vertical="center"/>
    </xf>
    <xf numFmtId="0" fontId="156" fillId="9" borderId="0" xfId="0" applyFont="1" applyFill="1" applyAlignment="1">
      <alignment horizontal="left" vertical="center"/>
    </xf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numFmt numFmtId="0" formatCode="General"/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A8:BE58" totalsRowShown="0" headerRowBorderDxfId="44" tableBorderDxfId="43">
  <autoFilter ref="BA8:BE58" xr:uid="{3B0A2C71-8D94-4593-BB80-02894E7265FE}"/>
  <tableColumns count="5">
    <tableColumn id="1" xr3:uid="{D9F72C05-D20D-4E41-8CD2-D47EAAAB5061}" name="序號" dataDxfId="42"/>
    <tableColumn id="5" xr3:uid="{76A9377C-B27C-473A-9EE0-1A8D4D0670E7}" name="按鍵字元" dataDxfId="0"/>
    <tableColumn id="2" xr3:uid="{8FDE1FB4-060C-4E19-B8BF-5C3C23E94F36}" name="注音符號" dataDxfId="41"/>
    <tableColumn id="3" xr3:uid="{B077E65C-C950-4D47-87A9-DCEDC0F350CF}" name="拼音字母" dataDxfId="40"/>
    <tableColumn id="4" xr3:uid="{D04A69C4-37A4-4EBC-9A00-BFE435BF9DCB}" name="字典編碼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38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37">
      <calculatedColumnFormula>I3</calculatedColumnFormula>
    </tableColumn>
    <tableColumn id="4" xr3:uid="{BAE708E8-CF5B-4D0B-8DF5-70B9AD52CA64}" name="字典編碼" dataDxfId="36" dataCellStyle="一般 4">
      <calculatedColumnFormula>H3</calculatedColumnFormula>
    </tableColumn>
    <tableColumn id="3" xr3:uid="{70BCF08F-E52C-4F2F-8F88-D7EDA4AC0303}" name="拼音字母" dataDxfId="35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34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33" tableBorderDxfId="32">
  <autoFilter ref="AV8:AZ58" xr:uid="{3B0A2C71-8D94-4593-BB80-02894E7265FE}"/>
  <tableColumns count="5">
    <tableColumn id="1" xr3:uid="{71FDF87D-76C3-4355-BDAB-D340D8A9EEA4}" name="序號" dataDxfId="31">
      <calculatedColumnFormula array="1" xml:space="preserve"> ROW() - ROW($8:$8)</calculatedColumnFormula>
    </tableColumn>
    <tableColumn id="5" xr3:uid="{9E4EDD55-425F-4D8F-B5B2-0E121FF194D3}" name="鍵盤按鍵" dataDxfId="30"/>
    <tableColumn id="2" xr3:uid="{E2222704-3459-404D-83E7-C2590CA4EA13}" name="字典編碼" dataDxfId="29"/>
    <tableColumn id="3" xr3:uid="{4739495F-D1EF-4573-A6B6-21C6ED436B59}" name="拼音字母" dataDxfId="28"/>
    <tableColumn id="4" xr3:uid="{EEEEE2DE-12A7-40C0-B8C6-A9DE8229567C}" name="注音符號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26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25">
      <calculatedColumnFormula>G3</calculatedColumnFormula>
    </tableColumn>
    <tableColumn id="4" xr3:uid="{8C167905-9D73-4909-8712-255BECFAE41E}" name="字典編碼" dataDxfId="24" dataCellStyle="一般 4">
      <calculatedColumnFormula>F3</calculatedColumnFormula>
    </tableColumn>
    <tableColumn id="2" xr3:uid="{2B39C045-95F3-4942-B538-2A6427E8FFDE}" name="方音符號" dataDxfId="23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22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21">
      <calculatedColumnFormula>G3</calculatedColumnFormula>
    </tableColumn>
    <tableColumn id="4" xr3:uid="{4ECEBB4D-55DC-4D4B-9996-AEA5734CF4E0}" name="字典編碼" dataDxfId="20" dataCellStyle="一般 4">
      <calculatedColumnFormula>F3</calculatedColumnFormula>
    </tableColumn>
    <tableColumn id="2" xr3:uid="{DE6DDD52-3A19-4642-8167-79627FC56DE7}" name="方音符號" dataDxfId="19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18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17"/>
    <tableColumn id="4" xr3:uid="{64D6493B-BE28-4D5C-8028-F0E91296CD5E}" name="字典編碼" dataDxfId="16" dataCellStyle="一般 4"/>
    <tableColumn id="2" xr3:uid="{1165FEF4-C5CE-495D-B4D7-2C4D25F7136A}" name="方音符號" dataDxfId="15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14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3">
      <calculatedColumnFormula>G3</calculatedColumnFormula>
    </tableColumn>
    <tableColumn id="4" xr3:uid="{730A345D-24E2-4C76-943A-E64802DD029D}" name="字典編碼" dataDxfId="12" dataCellStyle="一般 4">
      <calculatedColumnFormula>F3</calculatedColumnFormula>
    </tableColumn>
    <tableColumn id="2" xr3:uid="{4C3C4DD4-6C51-4A0A-99B3-DF9F0D69AF51}" name="方音符號" dataDxfId="11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10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9">
      <calculatedColumnFormula>G3</calculatedColumnFormula>
    </tableColumn>
    <tableColumn id="4" xr3:uid="{4C7CA1F3-D1C3-4190-B4EE-3AD155DB8473}" name="字典編碼" dataDxfId="8" dataCellStyle="一般 4">
      <calculatedColumnFormula>F3</calculatedColumnFormula>
    </tableColumn>
    <tableColumn id="2" xr3:uid="{20E99A91-482C-42A3-B3DD-B03AF39ACBB1}" name="方音符號" dataDxfId="7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6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5"/>
    <tableColumn id="2" xr3:uid="{63964A11-33C3-4775-A61B-A34CA9D7D33B}" name="方音符號" dataDxfId="4"/>
    <tableColumn id="3" xr3:uid="{F5A33025-421F-49C0-AF9F-4A9A0D4562CC}" name="拼音字母" dataDxfId="3"/>
    <tableColumn id="4" xr3:uid="{D331036C-A530-49C9-BE79-22670ABE9163}" name="按鍵編碼" dataDxfId="2"/>
    <tableColumn id="5" xr3:uid="{3CD879B3-0434-4959-B532-198774D28491}" name="國際音標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/>
  </sheetViews>
  <sheetFormatPr defaultColWidth="11.8984375" defaultRowHeight="14.25"/>
  <cols>
    <col min="1" max="1" width="1.8984375" style="142" customWidth="1"/>
    <col min="2" max="2" width="18.69921875" style="142" customWidth="1"/>
    <col min="3" max="37" width="4.3984375" style="142" customWidth="1"/>
    <col min="38" max="42" width="3.69921875" style="142" customWidth="1"/>
    <col min="43" max="43" width="38.69921875" style="142" customWidth="1"/>
    <col min="44" max="16384" width="11.8984375" style="142"/>
  </cols>
  <sheetData>
    <row r="1" spans="2:44" ht="15" thickBot="1"/>
    <row r="2" spans="2:44" s="155" customFormat="1" ht="18" customHeight="1">
      <c r="C2" s="399">
        <v>1</v>
      </c>
      <c r="D2" s="400"/>
      <c r="E2" s="401"/>
      <c r="F2" s="399">
        <v>2</v>
      </c>
      <c r="G2" s="400"/>
      <c r="H2" s="401"/>
      <c r="I2" s="423">
        <v>3</v>
      </c>
      <c r="J2" s="424"/>
      <c r="K2" s="425"/>
      <c r="L2" s="423">
        <v>4</v>
      </c>
      <c r="M2" s="424"/>
      <c r="N2" s="425"/>
      <c r="O2" s="423">
        <v>5</v>
      </c>
      <c r="P2" s="424"/>
      <c r="Q2" s="425"/>
      <c r="R2" s="423">
        <v>6</v>
      </c>
      <c r="S2" s="424"/>
      <c r="T2" s="425"/>
      <c r="U2" s="423">
        <v>7</v>
      </c>
      <c r="V2" s="424"/>
      <c r="W2" s="425"/>
      <c r="X2" s="402">
        <v>8</v>
      </c>
      <c r="Y2" s="403"/>
      <c r="Z2" s="404"/>
      <c r="AA2" s="402">
        <v>9</v>
      </c>
      <c r="AB2" s="403"/>
      <c r="AC2" s="404"/>
      <c r="AD2" s="402">
        <v>0</v>
      </c>
      <c r="AE2" s="403"/>
      <c r="AF2" s="404"/>
      <c r="AG2" s="427" t="s">
        <v>451</v>
      </c>
      <c r="AH2" s="403"/>
      <c r="AI2" s="404"/>
      <c r="AJ2" s="142"/>
      <c r="AK2" s="142"/>
      <c r="AL2" s="142"/>
      <c r="AR2" s="158" t="s">
        <v>450</v>
      </c>
    </row>
    <row r="3" spans="2:44" ht="30" customHeight="1" thickBot="1">
      <c r="C3" s="396" t="str">
        <f>D14</f>
        <v>ㄅ</v>
      </c>
      <c r="D3" s="397"/>
      <c r="E3" s="398"/>
      <c r="F3" s="396" t="str">
        <f>H14</f>
        <v>ㄉ</v>
      </c>
      <c r="G3" s="397"/>
      <c r="H3" s="398"/>
      <c r="I3" s="420" t="s">
        <v>449</v>
      </c>
      <c r="J3" s="421"/>
      <c r="K3" s="422"/>
      <c r="L3" s="420" t="s">
        <v>448</v>
      </c>
      <c r="M3" s="421"/>
      <c r="N3" s="422"/>
      <c r="O3" s="420"/>
      <c r="P3" s="421"/>
      <c r="Q3" s="422"/>
      <c r="R3" s="417" t="s">
        <v>447</v>
      </c>
      <c r="S3" s="418"/>
      <c r="T3" s="419"/>
      <c r="U3" s="420" t="s">
        <v>446</v>
      </c>
      <c r="V3" s="421"/>
      <c r="W3" s="422"/>
      <c r="X3" s="413" t="str">
        <f>D20</f>
        <v>ㄚ</v>
      </c>
      <c r="Y3" s="414"/>
      <c r="Z3" s="415"/>
      <c r="AA3" s="413"/>
      <c r="AB3" s="414"/>
      <c r="AC3" s="415"/>
      <c r="AD3" s="413"/>
      <c r="AE3" s="414"/>
      <c r="AF3" s="415"/>
      <c r="AG3" s="428"/>
      <c r="AH3" s="429"/>
      <c r="AI3" s="430"/>
      <c r="AQ3" s="156" t="s">
        <v>445</v>
      </c>
      <c r="AR3" s="142" t="s">
        <v>426</v>
      </c>
    </row>
    <row r="4" spans="2:44" s="155" customFormat="1" ht="18" customHeight="1">
      <c r="D4" s="399" t="s">
        <v>444</v>
      </c>
      <c r="E4" s="400"/>
      <c r="F4" s="401"/>
      <c r="G4" s="399" t="s">
        <v>379</v>
      </c>
      <c r="H4" s="400"/>
      <c r="I4" s="401"/>
      <c r="J4" s="399" t="s">
        <v>443</v>
      </c>
      <c r="K4" s="400"/>
      <c r="L4" s="401"/>
      <c r="M4" s="399" t="s">
        <v>442</v>
      </c>
      <c r="N4" s="400"/>
      <c r="O4" s="401"/>
      <c r="P4" s="399" t="s">
        <v>441</v>
      </c>
      <c r="Q4" s="400"/>
      <c r="R4" s="401"/>
      <c r="S4" s="399" t="s">
        <v>440</v>
      </c>
      <c r="T4" s="400"/>
      <c r="U4" s="401"/>
      <c r="V4" s="402" t="s">
        <v>439</v>
      </c>
      <c r="W4" s="403"/>
      <c r="X4" s="404"/>
      <c r="Y4" s="402" t="s">
        <v>438</v>
      </c>
      <c r="Z4" s="403"/>
      <c r="AA4" s="404"/>
      <c r="AB4" s="402" t="s">
        <v>435</v>
      </c>
      <c r="AC4" s="403"/>
      <c r="AD4" s="404"/>
      <c r="AE4" s="402" t="s">
        <v>437</v>
      </c>
      <c r="AF4" s="403"/>
      <c r="AG4" s="404"/>
      <c r="AJ4" s="142"/>
      <c r="AK4" s="142"/>
      <c r="AL4" s="142"/>
    </row>
    <row r="5" spans="2:44" ht="30" customHeight="1" thickBot="1">
      <c r="D5" s="396" t="str">
        <f>E14</f>
        <v>ㄆ</v>
      </c>
      <c r="E5" s="397"/>
      <c r="F5" s="398"/>
      <c r="G5" s="396" t="str">
        <f>I14</f>
        <v>ㄊ</v>
      </c>
      <c r="H5" s="397"/>
      <c r="I5" s="398"/>
      <c r="J5" s="396" t="str">
        <f>L14</f>
        <v>ㄍ</v>
      </c>
      <c r="K5" s="397"/>
      <c r="L5" s="398"/>
      <c r="M5" s="396"/>
      <c r="N5" s="397"/>
      <c r="O5" s="398"/>
      <c r="P5" s="393" t="str">
        <f>F14</f>
        <v>ㆠ</v>
      </c>
      <c r="Q5" s="394"/>
      <c r="R5" s="395"/>
      <c r="S5" s="396" t="str">
        <f>Q14</f>
        <v>ㄗ</v>
      </c>
      <c r="T5" s="397"/>
      <c r="U5" s="398"/>
      <c r="V5" s="413" t="str">
        <f>F20</f>
        <v>ㄧ</v>
      </c>
      <c r="W5" s="414"/>
      <c r="X5" s="415"/>
      <c r="Y5" s="413" t="str">
        <f>L20</f>
        <v>ㆦ</v>
      </c>
      <c r="Z5" s="414"/>
      <c r="AA5" s="415"/>
      <c r="AB5" s="413"/>
      <c r="AC5" s="414"/>
      <c r="AD5" s="415"/>
      <c r="AE5" s="405" t="str">
        <f>P20</f>
        <v>ㄣ</v>
      </c>
      <c r="AF5" s="406"/>
      <c r="AG5" s="407"/>
      <c r="AQ5" s="156" t="s">
        <v>436</v>
      </c>
      <c r="AR5" s="142" t="s">
        <v>435</v>
      </c>
    </row>
    <row r="6" spans="2:44" s="155" customFormat="1" ht="18" customHeight="1">
      <c r="D6" s="157"/>
      <c r="E6" s="399" t="s">
        <v>434</v>
      </c>
      <c r="F6" s="400"/>
      <c r="G6" s="401"/>
      <c r="H6" s="399" t="s">
        <v>433</v>
      </c>
      <c r="I6" s="400"/>
      <c r="J6" s="401"/>
      <c r="K6" s="399" t="s">
        <v>432</v>
      </c>
      <c r="L6" s="400"/>
      <c r="M6" s="401"/>
      <c r="N6" s="399" t="s">
        <v>431</v>
      </c>
      <c r="O6" s="400"/>
      <c r="P6" s="401"/>
      <c r="Q6" s="399" t="s">
        <v>430</v>
      </c>
      <c r="R6" s="400"/>
      <c r="S6" s="401"/>
      <c r="T6" s="399" t="s">
        <v>429</v>
      </c>
      <c r="U6" s="400"/>
      <c r="V6" s="401"/>
      <c r="W6" s="402" t="s">
        <v>428</v>
      </c>
      <c r="X6" s="403"/>
      <c r="Y6" s="404"/>
      <c r="Z6" s="402" t="s">
        <v>427</v>
      </c>
      <c r="AA6" s="403"/>
      <c r="AB6" s="404"/>
      <c r="AC6" s="402" t="s">
        <v>426</v>
      </c>
      <c r="AD6" s="403"/>
      <c r="AE6" s="404"/>
      <c r="AF6" s="402" t="s">
        <v>425</v>
      </c>
      <c r="AG6" s="403"/>
      <c r="AH6" s="404"/>
    </row>
    <row r="7" spans="2:44" ht="30" customHeight="1" thickBot="1">
      <c r="E7" s="410" t="str">
        <f>G14</f>
        <v>ㄇ</v>
      </c>
      <c r="F7" s="411"/>
      <c r="G7" s="412"/>
      <c r="H7" s="396" t="str">
        <f>J14</f>
        <v>ㄋ</v>
      </c>
      <c r="I7" s="397"/>
      <c r="J7" s="398"/>
      <c r="K7" s="396" t="str">
        <f>M14</f>
        <v>ㄎ</v>
      </c>
      <c r="L7" s="397"/>
      <c r="M7" s="398"/>
      <c r="N7" s="396"/>
      <c r="O7" s="397"/>
      <c r="P7" s="398"/>
      <c r="Q7" s="416" t="str">
        <f>N14</f>
        <v>ㆣ</v>
      </c>
      <c r="R7" s="394"/>
      <c r="S7" s="395"/>
      <c r="T7" s="396" t="str">
        <f>R14</f>
        <v>ㄘ</v>
      </c>
      <c r="U7" s="397"/>
      <c r="V7" s="398"/>
      <c r="W7" s="413" t="str">
        <f>H20</f>
        <v>ㄨ</v>
      </c>
      <c r="X7" s="414"/>
      <c r="Y7" s="415"/>
      <c r="Z7" s="413" t="str">
        <f>N20</f>
        <v>ㄜ</v>
      </c>
      <c r="AA7" s="414"/>
      <c r="AB7" s="415"/>
      <c r="AC7" s="413"/>
      <c r="AD7" s="414"/>
      <c r="AE7" s="415"/>
      <c r="AF7" s="432"/>
      <c r="AG7" s="414"/>
      <c r="AH7" s="415"/>
      <c r="AQ7" s="156" t="s">
        <v>424</v>
      </c>
      <c r="AR7" s="142" t="s">
        <v>423</v>
      </c>
    </row>
    <row r="8" spans="2:44" s="155" customFormat="1" ht="18" customHeight="1">
      <c r="F8" s="399" t="s">
        <v>422</v>
      </c>
      <c r="G8" s="400"/>
      <c r="H8" s="401"/>
      <c r="I8" s="399" t="s">
        <v>421</v>
      </c>
      <c r="J8" s="400"/>
      <c r="K8" s="401"/>
      <c r="L8" s="399" t="s">
        <v>420</v>
      </c>
      <c r="M8" s="400"/>
      <c r="N8" s="401"/>
      <c r="O8" s="399" t="s">
        <v>419</v>
      </c>
      <c r="P8" s="400"/>
      <c r="Q8" s="401"/>
      <c r="R8" s="399" t="s">
        <v>418</v>
      </c>
      <c r="S8" s="400"/>
      <c r="T8" s="401"/>
      <c r="U8" s="399" t="s">
        <v>377</v>
      </c>
      <c r="V8" s="400"/>
      <c r="W8" s="401"/>
      <c r="X8" s="402" t="s">
        <v>417</v>
      </c>
      <c r="Y8" s="403"/>
      <c r="Z8" s="404"/>
      <c r="AA8" s="402" t="s">
        <v>416</v>
      </c>
      <c r="AB8" s="403"/>
      <c r="AC8" s="404"/>
      <c r="AD8" s="402" t="s">
        <v>415</v>
      </c>
      <c r="AE8" s="403"/>
      <c r="AF8" s="404"/>
      <c r="AG8" s="431" t="s">
        <v>414</v>
      </c>
      <c r="AH8" s="403"/>
      <c r="AI8" s="404"/>
    </row>
    <row r="9" spans="2:44" ht="30" customHeight="1" thickBot="1">
      <c r="F9" s="396"/>
      <c r="G9" s="408"/>
      <c r="H9" s="409"/>
      <c r="I9" s="396" t="str">
        <f>K14</f>
        <v>ㄌ</v>
      </c>
      <c r="J9" s="397"/>
      <c r="K9" s="398"/>
      <c r="L9" s="396" t="str">
        <f>P14</f>
        <v>ㄏ</v>
      </c>
      <c r="M9" s="397"/>
      <c r="N9" s="398"/>
      <c r="O9" s="410" t="str">
        <f>O14</f>
        <v>ㄫ</v>
      </c>
      <c r="P9" s="411"/>
      <c r="Q9" s="412"/>
      <c r="R9" s="393" t="str">
        <f>S14</f>
        <v>ㆡ</v>
      </c>
      <c r="S9" s="394"/>
      <c r="T9" s="395"/>
      <c r="U9" s="396" t="str">
        <f>T14</f>
        <v>ㄙ</v>
      </c>
      <c r="V9" s="397"/>
      <c r="W9" s="398"/>
      <c r="X9" s="405" t="str">
        <f>O20</f>
        <v>ㆬ</v>
      </c>
      <c r="Y9" s="406"/>
      <c r="Z9" s="407"/>
      <c r="AA9" s="413" t="str">
        <f>J20</f>
        <v>ㄝ</v>
      </c>
      <c r="AB9" s="414"/>
      <c r="AC9" s="415"/>
      <c r="AD9" s="426" t="str">
        <f>Q20</f>
        <v>ㄥ</v>
      </c>
      <c r="AE9" s="406"/>
      <c r="AF9" s="407"/>
      <c r="AG9" s="413"/>
      <c r="AH9" s="414"/>
      <c r="AI9" s="415"/>
    </row>
    <row r="12" spans="2:44">
      <c r="Z12" s="155"/>
    </row>
    <row r="13" spans="2:44">
      <c r="D13" s="142" t="s">
        <v>413</v>
      </c>
    </row>
    <row r="14" spans="2:44" ht="16.5">
      <c r="B14" s="146" t="s">
        <v>389</v>
      </c>
      <c r="D14" s="142" t="s">
        <v>8</v>
      </c>
      <c r="E14" s="142" t="s">
        <v>37</v>
      </c>
      <c r="F14" s="142" t="s">
        <v>90</v>
      </c>
      <c r="G14" s="142" t="s">
        <v>55</v>
      </c>
      <c r="H14" s="142" t="s">
        <v>10</v>
      </c>
      <c r="I14" s="142" t="s">
        <v>39</v>
      </c>
      <c r="J14" s="142" t="s">
        <v>67</v>
      </c>
      <c r="K14" s="142" t="s">
        <v>92</v>
      </c>
      <c r="L14" s="142" t="s">
        <v>41</v>
      </c>
      <c r="M14" s="142" t="s">
        <v>69</v>
      </c>
      <c r="N14" s="142" t="s">
        <v>44</v>
      </c>
      <c r="O14" s="142" t="s">
        <v>72</v>
      </c>
      <c r="P14" s="142" t="s">
        <v>94</v>
      </c>
      <c r="Q14" s="142" t="s">
        <v>46</v>
      </c>
      <c r="R14" s="142" t="s">
        <v>74</v>
      </c>
      <c r="S14" s="142" t="s">
        <v>106</v>
      </c>
      <c r="T14" s="142" t="s">
        <v>98</v>
      </c>
    </row>
    <row r="15" spans="2:44" ht="19.5">
      <c r="B15" s="146" t="s">
        <v>387</v>
      </c>
      <c r="D15" s="154" t="s">
        <v>9</v>
      </c>
      <c r="E15" s="154" t="s">
        <v>38</v>
      </c>
      <c r="F15" s="154" t="s">
        <v>91</v>
      </c>
      <c r="G15" s="154" t="s">
        <v>66</v>
      </c>
      <c r="H15" s="154" t="s">
        <v>11</v>
      </c>
      <c r="I15" s="154" t="s">
        <v>40</v>
      </c>
      <c r="J15" s="154" t="s">
        <v>68</v>
      </c>
      <c r="K15" s="154" t="s">
        <v>93</v>
      </c>
      <c r="L15" s="154" t="s">
        <v>42</v>
      </c>
      <c r="M15" s="154" t="s">
        <v>70</v>
      </c>
      <c r="N15" s="154" t="s">
        <v>45</v>
      </c>
      <c r="O15" s="154" t="s">
        <v>73</v>
      </c>
      <c r="P15" s="154" t="s">
        <v>95</v>
      </c>
      <c r="Q15" s="154" t="s">
        <v>47</v>
      </c>
      <c r="R15" s="154" t="s">
        <v>75</v>
      </c>
      <c r="S15" s="154" t="s">
        <v>308</v>
      </c>
      <c r="T15" s="154" t="s">
        <v>99</v>
      </c>
      <c r="U15" s="149"/>
    </row>
    <row r="16" spans="2:44" ht="19.5">
      <c r="B16" s="146" t="s">
        <v>386</v>
      </c>
      <c r="D16" s="150" t="s">
        <v>9</v>
      </c>
      <c r="E16" s="150" t="s">
        <v>33</v>
      </c>
      <c r="F16" s="151" t="s">
        <v>412</v>
      </c>
      <c r="G16" s="153" t="s">
        <v>411</v>
      </c>
      <c r="H16" s="150" t="s">
        <v>11</v>
      </c>
      <c r="I16" s="150" t="s">
        <v>28</v>
      </c>
      <c r="J16" s="151" t="s">
        <v>410</v>
      </c>
      <c r="K16" s="151" t="s">
        <v>409</v>
      </c>
      <c r="L16" s="150" t="s">
        <v>42</v>
      </c>
      <c r="M16" s="150" t="s">
        <v>62</v>
      </c>
      <c r="N16" s="150" t="s">
        <v>45</v>
      </c>
      <c r="O16" s="152" t="s">
        <v>377</v>
      </c>
      <c r="P16" s="150" t="s">
        <v>95</v>
      </c>
      <c r="Q16" s="150" t="s">
        <v>166</v>
      </c>
      <c r="R16" s="150" t="s">
        <v>83</v>
      </c>
      <c r="S16" s="151" t="s">
        <v>408</v>
      </c>
      <c r="T16" s="150" t="s">
        <v>99</v>
      </c>
      <c r="U16" s="149"/>
    </row>
    <row r="17" spans="2:20" ht="16.5">
      <c r="B17" s="146" t="s">
        <v>376</v>
      </c>
      <c r="D17" s="148" t="s">
        <v>407</v>
      </c>
      <c r="E17" s="148" t="s">
        <v>406</v>
      </c>
      <c r="F17" s="148" t="s">
        <v>405</v>
      </c>
      <c r="G17" s="148" t="s">
        <v>404</v>
      </c>
      <c r="H17" s="148" t="s">
        <v>403</v>
      </c>
      <c r="I17" s="148" t="s">
        <v>402</v>
      </c>
      <c r="J17" s="148" t="s">
        <v>401</v>
      </c>
      <c r="K17" s="148" t="s">
        <v>400</v>
      </c>
      <c r="L17" s="148" t="s">
        <v>399</v>
      </c>
      <c r="M17" s="148" t="s">
        <v>398</v>
      </c>
      <c r="N17" s="148" t="s">
        <v>397</v>
      </c>
      <c r="O17" s="148" t="s">
        <v>396</v>
      </c>
      <c r="P17" s="148" t="s">
        <v>395</v>
      </c>
      <c r="Q17" s="148" t="s">
        <v>394</v>
      </c>
      <c r="R17" s="148" t="s">
        <v>393</v>
      </c>
      <c r="S17" s="148" t="s">
        <v>392</v>
      </c>
      <c r="T17" s="148" t="s">
        <v>391</v>
      </c>
    </row>
    <row r="19" spans="2:20">
      <c r="D19" s="142" t="s">
        <v>390</v>
      </c>
    </row>
    <row r="20" spans="2:20" ht="16.5">
      <c r="B20" s="146" t="s">
        <v>389</v>
      </c>
      <c r="D20" s="142" t="s">
        <v>20</v>
      </c>
      <c r="E20" s="142" t="s">
        <v>107</v>
      </c>
      <c r="F20" s="142" t="s">
        <v>48</v>
      </c>
      <c r="G20" s="142" t="s">
        <v>116</v>
      </c>
      <c r="H20" s="142" t="s">
        <v>76</v>
      </c>
      <c r="I20" s="142" t="s">
        <v>117</v>
      </c>
      <c r="J20" s="147" t="s">
        <v>388</v>
      </c>
      <c r="K20" s="142" t="s">
        <v>110</v>
      </c>
      <c r="L20" s="142" t="s">
        <v>50</v>
      </c>
      <c r="M20" s="142" t="s">
        <v>108</v>
      </c>
      <c r="N20" s="142" t="s">
        <v>78</v>
      </c>
      <c r="O20" s="142" t="s">
        <v>100</v>
      </c>
      <c r="P20" s="142" t="s">
        <v>54</v>
      </c>
      <c r="Q20" s="142" t="s">
        <v>115</v>
      </c>
    </row>
    <row r="21" spans="2:20" ht="16.5">
      <c r="B21" s="146" t="s">
        <v>387</v>
      </c>
      <c r="D21" s="145" t="s">
        <v>21</v>
      </c>
      <c r="E21" s="145" t="s">
        <v>309</v>
      </c>
      <c r="F21" s="145" t="s">
        <v>49</v>
      </c>
      <c r="G21" s="145" t="s">
        <v>312</v>
      </c>
      <c r="H21" s="145" t="s">
        <v>77</v>
      </c>
      <c r="I21" s="145" t="s">
        <v>313</v>
      </c>
      <c r="J21" s="145" t="s">
        <v>53</v>
      </c>
      <c r="K21" s="145" t="s">
        <v>311</v>
      </c>
      <c r="L21" s="145" t="s">
        <v>51</v>
      </c>
      <c r="M21" s="145" t="s">
        <v>310</v>
      </c>
      <c r="N21" s="145" t="s">
        <v>79</v>
      </c>
      <c r="O21" s="145" t="s">
        <v>66</v>
      </c>
      <c r="P21" s="145" t="s">
        <v>329</v>
      </c>
      <c r="Q21" s="145" t="s">
        <v>314</v>
      </c>
    </row>
    <row r="22" spans="2:20" ht="16.5">
      <c r="B22" s="146" t="s">
        <v>386</v>
      </c>
      <c r="D22" s="144" t="s">
        <v>21</v>
      </c>
      <c r="E22" s="144" t="s">
        <v>385</v>
      </c>
      <c r="F22" s="144" t="s">
        <v>49</v>
      </c>
      <c r="G22" s="144" t="s">
        <v>384</v>
      </c>
      <c r="H22" s="144" t="s">
        <v>77</v>
      </c>
      <c r="I22" s="144" t="s">
        <v>383</v>
      </c>
      <c r="J22" s="144" t="s">
        <v>53</v>
      </c>
      <c r="K22" s="144" t="s">
        <v>382</v>
      </c>
      <c r="L22" s="144" t="s">
        <v>79</v>
      </c>
      <c r="M22" s="144" t="s">
        <v>381</v>
      </c>
      <c r="N22" s="144" t="s">
        <v>380</v>
      </c>
      <c r="O22" s="144" t="s">
        <v>379</v>
      </c>
      <c r="P22" s="144" t="s">
        <v>378</v>
      </c>
      <c r="Q22" s="144" t="s">
        <v>377</v>
      </c>
    </row>
    <row r="23" spans="2:20" ht="16.5">
      <c r="B23" s="146" t="s">
        <v>376</v>
      </c>
      <c r="D23" s="143" t="s">
        <v>375</v>
      </c>
      <c r="E23" s="143" t="s">
        <v>374</v>
      </c>
      <c r="F23" s="143" t="s">
        <v>373</v>
      </c>
      <c r="G23" s="143" t="s">
        <v>372</v>
      </c>
      <c r="H23" s="143" t="s">
        <v>371</v>
      </c>
      <c r="I23" s="143" t="s">
        <v>370</v>
      </c>
      <c r="J23" s="143" t="s">
        <v>362</v>
      </c>
      <c r="K23" s="143" t="s">
        <v>369</v>
      </c>
      <c r="L23" s="143" t="s">
        <v>368</v>
      </c>
      <c r="M23" s="143" t="s">
        <v>367</v>
      </c>
      <c r="N23" s="143" t="s">
        <v>366</v>
      </c>
      <c r="O23" s="143" t="s">
        <v>365</v>
      </c>
      <c r="P23" s="143" t="s">
        <v>364</v>
      </c>
      <c r="Q23" s="143" t="s">
        <v>363</v>
      </c>
    </row>
    <row r="25" spans="2:20">
      <c r="J25" s="142" t="s">
        <v>52</v>
      </c>
    </row>
    <row r="26" spans="2:20" ht="15">
      <c r="J26" s="145" t="s">
        <v>53</v>
      </c>
    </row>
    <row r="27" spans="2:20" ht="16.5">
      <c r="J27" s="144" t="s">
        <v>53</v>
      </c>
    </row>
    <row r="28" spans="2:20">
      <c r="J28" s="143" t="s">
        <v>362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C2:E2"/>
    <mergeCell ref="F2:H2"/>
    <mergeCell ref="I2:K2"/>
    <mergeCell ref="L2:N2"/>
    <mergeCell ref="O2:Q2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D5:F5"/>
    <mergeCell ref="G5:I5"/>
    <mergeCell ref="J5:L5"/>
    <mergeCell ref="M5:O5"/>
    <mergeCell ref="P5:R5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</mergeCells>
  <phoneticPr fontId="3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K63"/>
  <sheetViews>
    <sheetView topLeftCell="A7" workbookViewId="0">
      <selection activeCell="AQ13" sqref="AQ13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1" width="5.09765625" customWidth="1"/>
    <col min="52" max="52" width="28.3984375" customWidth="1"/>
    <col min="53" max="53" width="6.296875" customWidth="1"/>
    <col min="54" max="57" width="11.59765625" customWidth="1"/>
    <col min="60" max="60" width="10.09765625" customWidth="1"/>
    <col min="61" max="61" width="11.19921875" customWidth="1"/>
    <col min="62" max="63" width="10.796875" customWidth="1"/>
  </cols>
  <sheetData>
    <row r="1" spans="1:63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7"/>
      <c r="AW1" s="57"/>
      <c r="AX1" s="57"/>
      <c r="AY1" s="57"/>
    </row>
    <row r="2" spans="1:63" s="3" customFormat="1" ht="40.5" customHeight="1">
      <c r="A2" s="41"/>
      <c r="B2" s="44" t="s">
        <v>103</v>
      </c>
      <c r="C2" s="45"/>
      <c r="D2" s="43">
        <f xml:space="preserve"> COLUMN() - 3</f>
        <v>1</v>
      </c>
      <c r="E2" s="43">
        <f t="shared" ref="E2:AX2" si="0" xml:space="preserve"> COLUMN() - 3</f>
        <v>2</v>
      </c>
      <c r="F2" s="43">
        <f t="shared" si="0"/>
        <v>3</v>
      </c>
      <c r="G2" s="43">
        <f t="shared" si="0"/>
        <v>4</v>
      </c>
      <c r="H2" s="43">
        <f t="shared" si="0"/>
        <v>5</v>
      </c>
      <c r="I2" s="43">
        <f t="shared" si="0"/>
        <v>6</v>
      </c>
      <c r="J2" s="43">
        <f t="shared" si="0"/>
        <v>7</v>
      </c>
      <c r="K2" s="43">
        <f t="shared" si="0"/>
        <v>8</v>
      </c>
      <c r="L2" s="43">
        <f t="shared" si="0"/>
        <v>9</v>
      </c>
      <c r="M2" s="43">
        <f t="shared" si="0"/>
        <v>10</v>
      </c>
      <c r="N2" s="43">
        <f t="shared" si="0"/>
        <v>11</v>
      </c>
      <c r="O2" s="43">
        <f t="shared" si="0"/>
        <v>12</v>
      </c>
      <c r="P2" s="43">
        <f t="shared" si="0"/>
        <v>13</v>
      </c>
      <c r="Q2" s="43">
        <f t="shared" si="0"/>
        <v>14</v>
      </c>
      <c r="R2" s="43">
        <f t="shared" si="0"/>
        <v>15</v>
      </c>
      <c r="S2" s="43">
        <f t="shared" si="0"/>
        <v>16</v>
      </c>
      <c r="T2" s="43">
        <f t="shared" si="0"/>
        <v>17</v>
      </c>
      <c r="U2" s="43">
        <f t="shared" si="0"/>
        <v>18</v>
      </c>
      <c r="V2" s="43">
        <f t="shared" si="0"/>
        <v>19</v>
      </c>
      <c r="W2" s="43">
        <f t="shared" si="0"/>
        <v>20</v>
      </c>
      <c r="X2" s="43">
        <f t="shared" si="0"/>
        <v>21</v>
      </c>
      <c r="Y2" s="43">
        <f t="shared" si="0"/>
        <v>22</v>
      </c>
      <c r="Z2" s="43">
        <f t="shared" si="0"/>
        <v>23</v>
      </c>
      <c r="AA2" s="43">
        <f t="shared" si="0"/>
        <v>24</v>
      </c>
      <c r="AB2" s="43">
        <f t="shared" si="0"/>
        <v>25</v>
      </c>
      <c r="AC2" s="43">
        <f t="shared" si="0"/>
        <v>26</v>
      </c>
      <c r="AD2" s="43">
        <f t="shared" si="0"/>
        <v>27</v>
      </c>
      <c r="AE2" s="43">
        <f t="shared" si="0"/>
        <v>28</v>
      </c>
      <c r="AF2" s="43">
        <f t="shared" si="0"/>
        <v>29</v>
      </c>
      <c r="AG2" s="43">
        <f t="shared" si="0"/>
        <v>30</v>
      </c>
      <c r="AH2" s="43">
        <f t="shared" si="0"/>
        <v>31</v>
      </c>
      <c r="AI2" s="43">
        <f t="shared" si="0"/>
        <v>32</v>
      </c>
      <c r="AJ2" s="43">
        <f t="shared" si="0"/>
        <v>33</v>
      </c>
      <c r="AK2" s="43">
        <f t="shared" si="0"/>
        <v>34</v>
      </c>
      <c r="AL2" s="43">
        <f t="shared" si="0"/>
        <v>35</v>
      </c>
      <c r="AM2" s="43">
        <f t="shared" si="0"/>
        <v>36</v>
      </c>
      <c r="AN2" s="43">
        <f t="shared" si="0"/>
        <v>37</v>
      </c>
      <c r="AO2" s="43">
        <f t="shared" si="0"/>
        <v>38</v>
      </c>
      <c r="AP2" s="43">
        <f t="shared" si="0"/>
        <v>39</v>
      </c>
      <c r="AQ2" s="43">
        <f t="shared" si="0"/>
        <v>40</v>
      </c>
      <c r="AR2" s="43">
        <f t="shared" si="0"/>
        <v>41</v>
      </c>
      <c r="AS2" s="43">
        <f t="shared" si="0"/>
        <v>42</v>
      </c>
      <c r="AT2" s="43">
        <f t="shared" si="0"/>
        <v>43</v>
      </c>
      <c r="AU2" s="43">
        <f t="shared" si="0"/>
        <v>44</v>
      </c>
      <c r="AV2" s="43">
        <f t="shared" si="0"/>
        <v>45</v>
      </c>
      <c r="AW2" s="43">
        <f t="shared" si="0"/>
        <v>46</v>
      </c>
      <c r="AX2" s="43">
        <f t="shared" si="0"/>
        <v>47</v>
      </c>
      <c r="BB2"/>
      <c r="BE2"/>
      <c r="BF2"/>
      <c r="BG2"/>
      <c r="BH2"/>
    </row>
    <row r="3" spans="1:63" ht="40.5" customHeight="1">
      <c r="A3" s="10"/>
      <c r="B3" s="48" t="s">
        <v>896</v>
      </c>
      <c r="C3" s="49"/>
      <c r="D3" s="331">
        <v>1</v>
      </c>
      <c r="E3" s="331" t="s">
        <v>731</v>
      </c>
      <c r="F3" s="332" t="s">
        <v>320</v>
      </c>
      <c r="G3" s="332" t="s">
        <v>321</v>
      </c>
      <c r="H3" s="331">
        <v>2</v>
      </c>
      <c r="I3" s="331" t="s">
        <v>345</v>
      </c>
      <c r="J3" s="331" t="s">
        <v>346</v>
      </c>
      <c r="K3" s="331" t="s">
        <v>347</v>
      </c>
      <c r="L3" s="331" t="s">
        <v>348</v>
      </c>
      <c r="M3" s="331" t="s">
        <v>747</v>
      </c>
      <c r="N3" s="331" t="s">
        <v>163</v>
      </c>
      <c r="O3" s="331" t="s">
        <v>323</v>
      </c>
      <c r="P3" s="331" t="s">
        <v>349</v>
      </c>
      <c r="Q3" s="331" t="s">
        <v>350</v>
      </c>
      <c r="R3" s="331" t="s">
        <v>306</v>
      </c>
      <c r="S3" s="331" t="s">
        <v>344</v>
      </c>
      <c r="T3" s="331" t="s">
        <v>351</v>
      </c>
      <c r="U3" s="331" t="s">
        <v>334</v>
      </c>
      <c r="V3" s="331" t="s">
        <v>343</v>
      </c>
      <c r="W3" s="331" t="s">
        <v>352</v>
      </c>
      <c r="X3" s="331">
        <v>8</v>
      </c>
      <c r="Y3" s="331" t="s">
        <v>333</v>
      </c>
      <c r="Z3" s="331" t="s">
        <v>340</v>
      </c>
      <c r="AA3" s="331" t="s">
        <v>353</v>
      </c>
      <c r="AB3" s="331" t="s">
        <v>336</v>
      </c>
      <c r="AC3" s="333" t="s">
        <v>354</v>
      </c>
      <c r="AD3" s="331">
        <v>9</v>
      </c>
      <c r="AE3" s="331" t="s">
        <v>200</v>
      </c>
      <c r="AF3" s="334">
        <v>0</v>
      </c>
      <c r="AG3" s="331" t="s">
        <v>727</v>
      </c>
      <c r="AH3" s="331" t="s">
        <v>741</v>
      </c>
      <c r="AI3" s="331" t="s">
        <v>742</v>
      </c>
      <c r="AJ3" s="331" t="s">
        <v>743</v>
      </c>
      <c r="AK3" s="331" t="s">
        <v>744</v>
      </c>
      <c r="AL3" s="331" t="s">
        <v>745</v>
      </c>
      <c r="AM3" s="332" t="s">
        <v>732</v>
      </c>
      <c r="AN3" s="335" t="s">
        <v>740</v>
      </c>
      <c r="AO3" s="342" t="s">
        <v>765</v>
      </c>
      <c r="AP3" s="342" t="s">
        <v>767</v>
      </c>
      <c r="AQ3" s="342" t="s">
        <v>766</v>
      </c>
      <c r="AR3" s="370" t="s">
        <v>301</v>
      </c>
      <c r="AS3" s="333" t="s">
        <v>776</v>
      </c>
      <c r="AT3" s="331">
        <v>4</v>
      </c>
      <c r="AU3" s="331">
        <v>3</v>
      </c>
      <c r="AV3" s="331">
        <v>6</v>
      </c>
      <c r="AW3" s="331">
        <v>5</v>
      </c>
      <c r="AX3" s="336">
        <v>7</v>
      </c>
    </row>
    <row r="4" spans="1:63" s="3" customFormat="1" ht="40.5" customHeight="1">
      <c r="A4" s="10"/>
      <c r="B4" s="66" t="s">
        <v>104</v>
      </c>
      <c r="C4" s="67"/>
      <c r="D4" s="174" t="s">
        <v>8</v>
      </c>
      <c r="E4" s="330" t="s">
        <v>90</v>
      </c>
      <c r="F4" s="174" t="s">
        <v>37</v>
      </c>
      <c r="G4" s="174" t="s">
        <v>55</v>
      </c>
      <c r="H4" s="174" t="s">
        <v>10</v>
      </c>
      <c r="I4" s="174" t="s">
        <v>39</v>
      </c>
      <c r="J4" s="174" t="s">
        <v>67</v>
      </c>
      <c r="K4" s="174" t="s">
        <v>92</v>
      </c>
      <c r="L4" s="174" t="s">
        <v>454</v>
      </c>
      <c r="M4" s="330" t="s">
        <v>44</v>
      </c>
      <c r="N4" s="174" t="s">
        <v>453</v>
      </c>
      <c r="O4" s="174" t="s">
        <v>94</v>
      </c>
      <c r="P4" s="175" t="s">
        <v>72</v>
      </c>
      <c r="Q4" s="174" t="s">
        <v>46</v>
      </c>
      <c r="R4" s="330" t="s">
        <v>106</v>
      </c>
      <c r="S4" s="174" t="s">
        <v>74</v>
      </c>
      <c r="T4" s="174" t="s">
        <v>98</v>
      </c>
      <c r="U4" s="174" t="s">
        <v>48</v>
      </c>
      <c r="V4" s="174" t="s">
        <v>76</v>
      </c>
      <c r="W4" s="175" t="s">
        <v>100</v>
      </c>
      <c r="X4" s="174" t="s">
        <v>20</v>
      </c>
      <c r="Y4" s="174" t="s">
        <v>50</v>
      </c>
      <c r="Z4" s="174" t="s">
        <v>78</v>
      </c>
      <c r="AA4" s="174" t="s">
        <v>322</v>
      </c>
      <c r="AB4" s="174" t="s">
        <v>54</v>
      </c>
      <c r="AC4" s="174" t="s">
        <v>115</v>
      </c>
      <c r="AD4" s="322" t="s">
        <v>22</v>
      </c>
      <c r="AE4" s="322" t="s">
        <v>80</v>
      </c>
      <c r="AF4" s="322" t="s">
        <v>23</v>
      </c>
      <c r="AG4" s="322" t="s">
        <v>81</v>
      </c>
      <c r="AH4" s="175" t="s">
        <v>116</v>
      </c>
      <c r="AI4" s="175" t="s">
        <v>117</v>
      </c>
      <c r="AJ4" s="175" t="s">
        <v>107</v>
      </c>
      <c r="AK4" s="175" t="s">
        <v>108</v>
      </c>
      <c r="AL4" s="175" t="s">
        <v>110</v>
      </c>
      <c r="AM4" s="175" t="s">
        <v>111</v>
      </c>
      <c r="AN4" s="175" t="s">
        <v>112</v>
      </c>
      <c r="AO4" s="175" t="s">
        <v>101</v>
      </c>
      <c r="AP4" s="175" t="s">
        <v>114</v>
      </c>
      <c r="AQ4" s="175" t="s">
        <v>113</v>
      </c>
      <c r="AR4" s="174" t="s">
        <v>895</v>
      </c>
      <c r="AS4" s="174" t="s">
        <v>807</v>
      </c>
      <c r="AT4" s="174" t="s">
        <v>14</v>
      </c>
      <c r="AU4" s="174" t="s">
        <v>12</v>
      </c>
      <c r="AV4" s="174" t="s">
        <v>18</v>
      </c>
      <c r="AW4" s="174" t="s">
        <v>16</v>
      </c>
      <c r="AX4" s="174" t="s">
        <v>775</v>
      </c>
      <c r="BB4"/>
      <c r="BE4"/>
      <c r="BF4"/>
      <c r="BG4"/>
      <c r="BH4" s="344" t="s">
        <v>770</v>
      </c>
      <c r="BI4" s="345" t="s">
        <v>773</v>
      </c>
    </row>
    <row r="5" spans="1:63" ht="40.5" customHeight="1">
      <c r="A5" s="10"/>
      <c r="B5" s="46" t="s">
        <v>356</v>
      </c>
      <c r="C5" s="47"/>
      <c r="D5" s="133" t="s">
        <v>9</v>
      </c>
      <c r="E5" s="133" t="s">
        <v>91</v>
      </c>
      <c r="F5" s="133" t="s">
        <v>38</v>
      </c>
      <c r="G5" s="133" t="s">
        <v>66</v>
      </c>
      <c r="H5" s="133" t="s">
        <v>11</v>
      </c>
      <c r="I5" s="133" t="s">
        <v>40</v>
      </c>
      <c r="J5" s="133" t="s">
        <v>617</v>
      </c>
      <c r="K5" s="133" t="s">
        <v>93</v>
      </c>
      <c r="L5" s="133" t="s">
        <v>42</v>
      </c>
      <c r="M5" s="133" t="s">
        <v>45</v>
      </c>
      <c r="N5" s="133" t="s">
        <v>70</v>
      </c>
      <c r="O5" s="133" t="s">
        <v>95</v>
      </c>
      <c r="P5" s="133" t="s">
        <v>73</v>
      </c>
      <c r="Q5" s="134" t="s">
        <v>323</v>
      </c>
      <c r="R5" s="133" t="s">
        <v>97</v>
      </c>
      <c r="S5" s="134" t="s">
        <v>324</v>
      </c>
      <c r="T5" s="133" t="s">
        <v>99</v>
      </c>
      <c r="U5" s="133" t="s">
        <v>49</v>
      </c>
      <c r="V5" s="133" t="s">
        <v>77</v>
      </c>
      <c r="W5" s="135" t="s">
        <v>331</v>
      </c>
      <c r="X5" s="133" t="s">
        <v>21</v>
      </c>
      <c r="Y5" s="133" t="s">
        <v>695</v>
      </c>
      <c r="Z5" s="133" t="s">
        <v>79</v>
      </c>
      <c r="AA5" s="133" t="s">
        <v>53</v>
      </c>
      <c r="AB5" s="135" t="s">
        <v>330</v>
      </c>
      <c r="AC5" s="133" t="s">
        <v>314</v>
      </c>
      <c r="AD5" s="133" t="s">
        <v>722</v>
      </c>
      <c r="AE5" s="135" t="s">
        <v>723</v>
      </c>
      <c r="AF5" s="135" t="s">
        <v>726</v>
      </c>
      <c r="AG5" s="135" t="s">
        <v>728</v>
      </c>
      <c r="AH5" s="133" t="s">
        <v>735</v>
      </c>
      <c r="AI5" s="133" t="s">
        <v>736</v>
      </c>
      <c r="AJ5" s="133" t="s">
        <v>737</v>
      </c>
      <c r="AK5" s="133" t="s">
        <v>738</v>
      </c>
      <c r="AL5" s="133" t="s">
        <v>739</v>
      </c>
      <c r="AM5" s="135" t="s">
        <v>733</v>
      </c>
      <c r="AN5" s="135" t="s">
        <v>734</v>
      </c>
      <c r="AO5" s="135" t="s">
        <v>753</v>
      </c>
      <c r="AP5" s="135" t="s">
        <v>761</v>
      </c>
      <c r="AQ5" s="135" t="s">
        <v>762</v>
      </c>
      <c r="AR5" s="135" t="s">
        <v>328</v>
      </c>
      <c r="AS5" s="133">
        <v>1</v>
      </c>
      <c r="AT5" s="133">
        <v>2</v>
      </c>
      <c r="AU5" s="133">
        <v>3</v>
      </c>
      <c r="AV5" s="133">
        <v>5</v>
      </c>
      <c r="AW5" s="133">
        <v>7</v>
      </c>
      <c r="AX5" s="133">
        <v>8</v>
      </c>
      <c r="BH5" s="344" t="s">
        <v>771</v>
      </c>
      <c r="BI5" s="345" t="s">
        <v>772</v>
      </c>
    </row>
    <row r="6" spans="1:63" s="3" customFormat="1" ht="40.5" customHeight="1">
      <c r="A6" s="10"/>
      <c r="B6" s="68" t="s">
        <v>326</v>
      </c>
      <c r="C6" s="69"/>
      <c r="D6" s="131" t="s">
        <v>336</v>
      </c>
      <c r="E6" s="131" t="s">
        <v>335</v>
      </c>
      <c r="F6" s="132" t="s">
        <v>337</v>
      </c>
      <c r="G6" s="131" t="s">
        <v>66</v>
      </c>
      <c r="H6" s="131" t="s">
        <v>341</v>
      </c>
      <c r="I6" s="132" t="s">
        <v>338</v>
      </c>
      <c r="J6" s="132" t="s">
        <v>199</v>
      </c>
      <c r="K6" s="131" t="s">
        <v>93</v>
      </c>
      <c r="L6" s="131" t="s">
        <v>340</v>
      </c>
      <c r="M6" s="131" t="s">
        <v>342</v>
      </c>
      <c r="N6" s="132" t="s">
        <v>339</v>
      </c>
      <c r="O6" s="131" t="s">
        <v>344</v>
      </c>
      <c r="P6" s="132" t="s">
        <v>345</v>
      </c>
      <c r="Q6" s="131" t="s">
        <v>323</v>
      </c>
      <c r="R6" s="318" t="s">
        <v>134</v>
      </c>
      <c r="S6" s="131" t="s">
        <v>325</v>
      </c>
      <c r="T6" s="131" t="s">
        <v>99</v>
      </c>
      <c r="U6" s="131" t="s">
        <v>333</v>
      </c>
      <c r="V6" s="131" t="s">
        <v>334</v>
      </c>
      <c r="W6" s="132" t="s">
        <v>721</v>
      </c>
      <c r="X6" s="131" t="s">
        <v>21</v>
      </c>
      <c r="Y6" s="131" t="s">
        <v>32</v>
      </c>
      <c r="Z6" s="131" t="s">
        <v>79</v>
      </c>
      <c r="AA6" s="131" t="s">
        <v>53</v>
      </c>
      <c r="AB6" s="132" t="s">
        <v>355</v>
      </c>
      <c r="AC6" s="132" t="s">
        <v>720</v>
      </c>
      <c r="AD6" s="319" t="s">
        <v>615</v>
      </c>
      <c r="AE6" s="319" t="s">
        <v>616</v>
      </c>
      <c r="AF6" s="319" t="s">
        <v>724</v>
      </c>
      <c r="AG6" s="319" t="s">
        <v>725</v>
      </c>
      <c r="AH6" s="132" t="s">
        <v>303</v>
      </c>
      <c r="AI6" s="132" t="s">
        <v>748</v>
      </c>
      <c r="AJ6" s="132" t="s">
        <v>749</v>
      </c>
      <c r="AK6" s="132" t="s">
        <v>751</v>
      </c>
      <c r="AL6" s="132" t="s">
        <v>747</v>
      </c>
      <c r="AM6" s="132" t="s">
        <v>750</v>
      </c>
      <c r="AN6" s="132" t="s">
        <v>752</v>
      </c>
      <c r="AO6" s="132" t="s">
        <v>754</v>
      </c>
      <c r="AP6" s="132" t="s">
        <v>763</v>
      </c>
      <c r="AQ6" s="132" t="s">
        <v>764</v>
      </c>
      <c r="AR6" s="233" t="s">
        <v>307</v>
      </c>
      <c r="AS6" s="132">
        <v>1</v>
      </c>
      <c r="AT6" s="131">
        <v>2</v>
      </c>
      <c r="AU6" s="131">
        <v>3</v>
      </c>
      <c r="AV6" s="131">
        <v>5</v>
      </c>
      <c r="AW6" s="131">
        <v>7</v>
      </c>
      <c r="AX6" s="137">
        <v>0</v>
      </c>
      <c r="BB6"/>
      <c r="BE6"/>
      <c r="BF6"/>
      <c r="BG6"/>
      <c r="BH6"/>
    </row>
    <row r="7" spans="1:63" s="3" customFormat="1" ht="36" customHeight="1" thickBot="1">
      <c r="A7"/>
      <c r="BA7" s="57"/>
      <c r="BB7"/>
      <c r="BC7"/>
      <c r="BD7"/>
      <c r="BE7"/>
      <c r="BH7" s="57"/>
      <c r="BI7"/>
      <c r="BJ7"/>
    </row>
    <row r="8" spans="1:63" ht="42.75" customHeight="1" thickBot="1">
      <c r="A8" s="3"/>
      <c r="B8" s="3"/>
      <c r="C8" s="2"/>
      <c r="D8" s="324" t="s">
        <v>90</v>
      </c>
      <c r="E8" s="320" t="s">
        <v>755</v>
      </c>
      <c r="F8" s="323" t="s">
        <v>91</v>
      </c>
      <c r="G8" s="376" t="s">
        <v>0</v>
      </c>
      <c r="H8" s="377"/>
      <c r="I8" s="378"/>
      <c r="J8" s="385" t="s">
        <v>1</v>
      </c>
      <c r="K8" s="386"/>
      <c r="L8" s="387"/>
      <c r="M8" s="385" t="s">
        <v>2</v>
      </c>
      <c r="N8" s="386"/>
      <c r="O8" s="387"/>
      <c r="P8" s="388" t="s">
        <v>689</v>
      </c>
      <c r="Q8" s="492"/>
      <c r="R8" s="493"/>
      <c r="S8" s="385" t="s">
        <v>3</v>
      </c>
      <c r="T8" s="386"/>
      <c r="U8" s="387"/>
      <c r="V8" s="385" t="s">
        <v>4</v>
      </c>
      <c r="W8" s="386"/>
      <c r="X8" s="387"/>
      <c r="Y8" s="325" t="s">
        <v>107</v>
      </c>
      <c r="Z8" s="321" t="s">
        <v>757</v>
      </c>
      <c r="AA8" s="326" t="s">
        <v>606</v>
      </c>
      <c r="AB8" s="325" t="s">
        <v>111</v>
      </c>
      <c r="AC8" s="321" t="s">
        <v>756</v>
      </c>
      <c r="AD8" s="326" t="s">
        <v>908</v>
      </c>
      <c r="AE8" s="379" t="s">
        <v>5</v>
      </c>
      <c r="AF8" s="380"/>
      <c r="AG8" s="381"/>
      <c r="AH8" s="373" t="s">
        <v>6</v>
      </c>
      <c r="AI8" s="374"/>
      <c r="AJ8" s="375"/>
      <c r="AK8" s="373" t="s">
        <v>7</v>
      </c>
      <c r="AL8" s="374"/>
      <c r="AM8" s="375"/>
      <c r="AN8" s="2"/>
      <c r="AO8" s="2"/>
      <c r="AP8" s="2"/>
      <c r="AQ8" s="2"/>
      <c r="AR8" s="2"/>
      <c r="AS8" s="2"/>
      <c r="AT8" s="2"/>
      <c r="AU8" s="2"/>
      <c r="AV8" s="2"/>
      <c r="AW8" s="57"/>
      <c r="AX8" s="57"/>
      <c r="AZ8" s="2"/>
      <c r="BA8" s="337" t="s">
        <v>103</v>
      </c>
      <c r="BB8" s="340" t="s">
        <v>896</v>
      </c>
      <c r="BC8" s="341" t="s">
        <v>104</v>
      </c>
      <c r="BD8" s="338" t="s">
        <v>730</v>
      </c>
      <c r="BE8" s="339" t="s">
        <v>326</v>
      </c>
      <c r="BH8" s="337" t="s">
        <v>103</v>
      </c>
      <c r="BI8" s="506" t="s">
        <v>774</v>
      </c>
      <c r="BJ8" s="343" t="s">
        <v>768</v>
      </c>
      <c r="BK8" s="338" t="s">
        <v>769</v>
      </c>
    </row>
    <row r="9" spans="1:63" ht="42.75" customHeight="1" thickTop="1" thickBot="1">
      <c r="C9" s="4"/>
      <c r="D9" s="50" t="s">
        <v>8</v>
      </c>
      <c r="E9" s="51"/>
      <c r="F9" s="127" t="s">
        <v>196</v>
      </c>
      <c r="G9" s="50" t="s">
        <v>10</v>
      </c>
      <c r="H9" s="51"/>
      <c r="I9" s="5" t="s">
        <v>11</v>
      </c>
      <c r="J9" s="382" t="s">
        <v>12</v>
      </c>
      <c r="K9" s="383"/>
      <c r="L9" s="6" t="s">
        <v>13</v>
      </c>
      <c r="M9" s="382" t="s">
        <v>14</v>
      </c>
      <c r="N9" s="383"/>
      <c r="O9" s="6" t="s">
        <v>15</v>
      </c>
      <c r="P9" s="384" t="s">
        <v>16</v>
      </c>
      <c r="Q9" s="491"/>
      <c r="R9" s="6" t="s">
        <v>17</v>
      </c>
      <c r="S9" s="382" t="s">
        <v>18</v>
      </c>
      <c r="T9" s="383"/>
      <c r="U9" s="6" t="s">
        <v>19</v>
      </c>
      <c r="V9" s="384" t="s">
        <v>910</v>
      </c>
      <c r="W9" s="491"/>
      <c r="X9" s="6" t="s">
        <v>729</v>
      </c>
      <c r="Y9" s="327" t="s">
        <v>20</v>
      </c>
      <c r="Z9" s="55" t="s">
        <v>21</v>
      </c>
      <c r="AA9" s="128" t="s">
        <v>21</v>
      </c>
      <c r="AB9" s="327" t="s">
        <v>22</v>
      </c>
      <c r="AC9" s="55" t="s">
        <v>31</v>
      </c>
      <c r="AD9" s="128" t="s">
        <v>469</v>
      </c>
      <c r="AE9" s="327" t="s">
        <v>23</v>
      </c>
      <c r="AF9" s="55" t="s">
        <v>63</v>
      </c>
      <c r="AG9" s="130" t="s">
        <v>606</v>
      </c>
      <c r="AH9" s="52"/>
      <c r="AI9" s="53"/>
      <c r="AJ9" s="7"/>
      <c r="AK9" s="371"/>
      <c r="AL9" s="372"/>
      <c r="AM9" s="8"/>
      <c r="AN9" s="4"/>
      <c r="AO9" s="4"/>
      <c r="AP9" s="4"/>
      <c r="AQ9" s="4"/>
      <c r="AR9" s="2"/>
      <c r="AS9" s="4"/>
      <c r="AT9" s="4"/>
      <c r="AU9" s="4"/>
      <c r="AV9" s="4"/>
      <c r="AW9" s="57"/>
      <c r="AX9" s="57"/>
      <c r="AZ9" s="4"/>
      <c r="BA9" s="173">
        <v>1</v>
      </c>
      <c r="BB9" s="110">
        <v>1</v>
      </c>
      <c r="BC9" s="108" t="s">
        <v>8</v>
      </c>
      <c r="BD9" s="171" t="s">
        <v>9</v>
      </c>
      <c r="BE9" s="109" t="s">
        <v>9</v>
      </c>
      <c r="BH9" s="459">
        <v>1</v>
      </c>
      <c r="BI9" s="460" t="e">
        <f xml:space="preserve"> MATCH(BJ9, $BB$9:$BB$55, 0)</f>
        <v>#N/A</v>
      </c>
      <c r="BJ9" s="461" t="str">
        <f t="shared" ref="BJ9:BJ71" si="1" xml:space="preserve"> MID($BI$4, $BH9, 1)</f>
        <v>1</v>
      </c>
      <c r="BK9" s="462" t="str">
        <f xml:space="preserve"> MID($BI$5, $BH9, 1)</f>
        <v>1</v>
      </c>
    </row>
    <row r="10" spans="1:63" s="42" customFormat="1" ht="42.75" customHeight="1">
      <c r="A10" s="3"/>
      <c r="B10" s="3"/>
      <c r="C10" s="2"/>
      <c r="D10" s="2"/>
      <c r="E10" s="376" t="s">
        <v>24</v>
      </c>
      <c r="F10" s="377"/>
      <c r="G10" s="378"/>
      <c r="H10" s="376" t="s">
        <v>25</v>
      </c>
      <c r="I10" s="377"/>
      <c r="J10" s="378"/>
      <c r="K10" s="324" t="s">
        <v>44</v>
      </c>
      <c r="L10" s="320" t="s">
        <v>746</v>
      </c>
      <c r="M10" s="323" t="s">
        <v>45</v>
      </c>
      <c r="N10" s="376" t="s">
        <v>27</v>
      </c>
      <c r="O10" s="377"/>
      <c r="P10" s="378"/>
      <c r="Q10" s="376" t="s">
        <v>28</v>
      </c>
      <c r="R10" s="377"/>
      <c r="S10" s="378"/>
      <c r="T10" s="324" t="s">
        <v>106</v>
      </c>
      <c r="U10" s="320" t="s">
        <v>754</v>
      </c>
      <c r="V10" s="323" t="s">
        <v>97</v>
      </c>
      <c r="W10" s="325" t="s">
        <v>116</v>
      </c>
      <c r="X10" s="321" t="s">
        <v>741</v>
      </c>
      <c r="Y10" s="326" t="s">
        <v>604</v>
      </c>
      <c r="Z10" s="325" t="s">
        <v>108</v>
      </c>
      <c r="AA10" s="321" t="s">
        <v>744</v>
      </c>
      <c r="AB10" s="326" t="s">
        <v>906</v>
      </c>
      <c r="AC10" s="379" t="s">
        <v>32</v>
      </c>
      <c r="AD10" s="380"/>
      <c r="AE10" s="381"/>
      <c r="AF10" s="379" t="s">
        <v>33</v>
      </c>
      <c r="AG10" s="380"/>
      <c r="AH10" s="381"/>
      <c r="AI10" s="379" t="s">
        <v>34</v>
      </c>
      <c r="AJ10" s="380"/>
      <c r="AK10" s="381"/>
      <c r="AL10" s="379" t="s">
        <v>35</v>
      </c>
      <c r="AM10" s="380"/>
      <c r="AN10" s="381"/>
      <c r="AO10" s="373" t="s">
        <v>36</v>
      </c>
      <c r="AP10" s="374"/>
      <c r="AQ10" s="375"/>
      <c r="AR10" s="2"/>
      <c r="AV10" s="2"/>
      <c r="AW10" s="57"/>
      <c r="AX10" s="57"/>
      <c r="AY10"/>
      <c r="AZ10" s="2"/>
      <c r="BA10" s="173">
        <v>2</v>
      </c>
      <c r="BB10" s="110" t="s">
        <v>903</v>
      </c>
      <c r="BC10" s="108" t="s">
        <v>90</v>
      </c>
      <c r="BD10" s="171" t="s">
        <v>91</v>
      </c>
      <c r="BE10" s="109" t="s">
        <v>91</v>
      </c>
      <c r="BH10" s="459">
        <v>2</v>
      </c>
      <c r="BI10" s="460"/>
      <c r="BJ10" s="461" t="str">
        <f t="shared" si="1"/>
        <v>!</v>
      </c>
      <c r="BK10" s="462" t="str">
        <f t="shared" ref="BK10:BK71" si="2" xml:space="preserve"> MID($BI$5, $BH10, 1)</f>
        <v>!</v>
      </c>
    </row>
    <row r="11" spans="1:63" s="11" customFormat="1" ht="42.75" customHeight="1" thickBot="1">
      <c r="A11"/>
      <c r="B11"/>
      <c r="C11" s="4"/>
      <c r="D11" s="4"/>
      <c r="E11" s="50" t="s">
        <v>37</v>
      </c>
      <c r="F11" s="51"/>
      <c r="G11" s="5" t="s">
        <v>38</v>
      </c>
      <c r="H11" s="50" t="s">
        <v>39</v>
      </c>
      <c r="I11" s="51"/>
      <c r="J11" s="5" t="s">
        <v>40</v>
      </c>
      <c r="K11" s="50" t="s">
        <v>41</v>
      </c>
      <c r="L11" s="51"/>
      <c r="M11" s="127" t="s">
        <v>42</v>
      </c>
      <c r="N11" s="317" t="s">
        <v>114</v>
      </c>
      <c r="O11" s="51" t="s">
        <v>60</v>
      </c>
      <c r="P11" s="126" t="s">
        <v>603</v>
      </c>
      <c r="Q11" s="50"/>
      <c r="R11" s="51"/>
      <c r="S11" s="126"/>
      <c r="T11" s="328" t="s">
        <v>46</v>
      </c>
      <c r="U11" s="51"/>
      <c r="V11" s="127" t="s">
        <v>166</v>
      </c>
      <c r="W11" s="329" t="s">
        <v>48</v>
      </c>
      <c r="X11" s="55" t="s">
        <v>49</v>
      </c>
      <c r="Y11" s="128" t="s">
        <v>49</v>
      </c>
      <c r="Z11" s="327" t="s">
        <v>50</v>
      </c>
      <c r="AA11" s="55" t="s">
        <v>32</v>
      </c>
      <c r="AB11" s="7" t="s">
        <v>51</v>
      </c>
      <c r="AC11" s="327" t="s">
        <v>101</v>
      </c>
      <c r="AD11" s="55" t="s">
        <v>29</v>
      </c>
      <c r="AE11" s="130" t="s">
        <v>612</v>
      </c>
      <c r="AF11" s="327" t="s">
        <v>54</v>
      </c>
      <c r="AG11" s="55" t="s">
        <v>57</v>
      </c>
      <c r="AH11" s="128" t="s">
        <v>329</v>
      </c>
      <c r="AI11" s="371"/>
      <c r="AJ11" s="372"/>
      <c r="AK11" s="8"/>
      <c r="AL11" s="371"/>
      <c r="AM11" s="372"/>
      <c r="AN11" s="8"/>
      <c r="AO11" s="371"/>
      <c r="AP11" s="372"/>
      <c r="AQ11" s="8"/>
      <c r="AR11" s="2"/>
      <c r="AV11" s="4"/>
      <c r="AW11" s="57"/>
      <c r="AX11" s="57"/>
      <c r="AY11"/>
      <c r="AZ11" s="4"/>
      <c r="BA11" s="173">
        <v>3</v>
      </c>
      <c r="BB11" s="110" t="s">
        <v>164</v>
      </c>
      <c r="BC11" s="108" t="s">
        <v>37</v>
      </c>
      <c r="BD11" s="171" t="s">
        <v>38</v>
      </c>
      <c r="BE11" s="109" t="s">
        <v>33</v>
      </c>
      <c r="BH11" s="459">
        <v>3</v>
      </c>
      <c r="BI11" s="460"/>
      <c r="BJ11" s="461" t="str">
        <f t="shared" si="1"/>
        <v>q</v>
      </c>
      <c r="BK11" s="462" t="str">
        <f t="shared" si="2"/>
        <v>q</v>
      </c>
    </row>
    <row r="12" spans="1:63" s="11" customFormat="1" ht="42.75" customHeight="1">
      <c r="A12" s="3"/>
      <c r="B12" s="3"/>
      <c r="C12" s="2"/>
      <c r="D12" s="2"/>
      <c r="E12" s="9"/>
      <c r="F12" s="376" t="s">
        <v>307</v>
      </c>
      <c r="G12" s="377"/>
      <c r="H12" s="378"/>
      <c r="I12" s="376" t="s">
        <v>56</v>
      </c>
      <c r="J12" s="377"/>
      <c r="K12" s="378"/>
      <c r="L12" s="376" t="s">
        <v>57</v>
      </c>
      <c r="M12" s="377"/>
      <c r="N12" s="378"/>
      <c r="O12" s="376" t="s">
        <v>58</v>
      </c>
      <c r="P12" s="377"/>
      <c r="Q12" s="378"/>
      <c r="R12" s="376" t="s">
        <v>59</v>
      </c>
      <c r="S12" s="377"/>
      <c r="T12" s="378"/>
      <c r="U12" s="376" t="s">
        <v>60</v>
      </c>
      <c r="V12" s="377"/>
      <c r="W12" s="378"/>
      <c r="X12" s="325" t="s">
        <v>117</v>
      </c>
      <c r="Y12" s="321" t="s">
        <v>742</v>
      </c>
      <c r="Z12" s="326" t="s">
        <v>605</v>
      </c>
      <c r="AA12" s="379" t="s">
        <v>62</v>
      </c>
      <c r="AB12" s="380"/>
      <c r="AC12" s="381"/>
      <c r="AD12" s="325" t="s">
        <v>112</v>
      </c>
      <c r="AE12" s="321" t="s">
        <v>740</v>
      </c>
      <c r="AF12" s="326" t="s">
        <v>909</v>
      </c>
      <c r="AG12" s="379" t="s">
        <v>64</v>
      </c>
      <c r="AH12" s="380"/>
      <c r="AI12" s="381"/>
      <c r="AJ12" s="373" t="s">
        <v>65</v>
      </c>
      <c r="AK12" s="374"/>
      <c r="AL12" s="375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7"/>
      <c r="AX12" s="57"/>
      <c r="AY12"/>
      <c r="AZ12" s="2"/>
      <c r="BA12" s="173">
        <v>4</v>
      </c>
      <c r="BB12" s="110" t="s">
        <v>21</v>
      </c>
      <c r="BC12" s="108" t="s">
        <v>55</v>
      </c>
      <c r="BD12" s="171" t="s">
        <v>66</v>
      </c>
      <c r="BE12" s="109" t="s">
        <v>66</v>
      </c>
      <c r="BH12" s="459">
        <v>4</v>
      </c>
      <c r="BI12" s="460"/>
      <c r="BJ12" s="461" t="str">
        <f t="shared" si="1"/>
        <v>a</v>
      </c>
      <c r="BK12" s="462" t="str">
        <f t="shared" si="2"/>
        <v>a</v>
      </c>
    </row>
    <row r="13" spans="1:63" s="11" customFormat="1" ht="42.75" customHeight="1" thickBot="1">
      <c r="A13"/>
      <c r="B13"/>
      <c r="C13" s="4"/>
      <c r="D13" s="4"/>
      <c r="E13" s="4"/>
      <c r="F13" s="50" t="s">
        <v>55</v>
      </c>
      <c r="G13" s="51"/>
      <c r="H13" s="5" t="s">
        <v>66</v>
      </c>
      <c r="I13" s="50" t="s">
        <v>67</v>
      </c>
      <c r="J13" s="51"/>
      <c r="K13" s="5" t="s">
        <v>68</v>
      </c>
      <c r="L13" s="50" t="s">
        <v>69</v>
      </c>
      <c r="M13" s="51"/>
      <c r="N13" s="5" t="s">
        <v>70</v>
      </c>
      <c r="O13" s="317" t="s">
        <v>113</v>
      </c>
      <c r="P13" s="51" t="s">
        <v>85</v>
      </c>
      <c r="Q13" s="126" t="s">
        <v>600</v>
      </c>
      <c r="R13" s="125"/>
      <c r="S13" s="51"/>
      <c r="T13" s="5"/>
      <c r="U13" s="328" t="s">
        <v>74</v>
      </c>
      <c r="V13" s="51"/>
      <c r="W13" s="126" t="s">
        <v>805</v>
      </c>
      <c r="X13" s="327" t="s">
        <v>76</v>
      </c>
      <c r="Y13" s="55" t="s">
        <v>77</v>
      </c>
      <c r="Z13" s="128" t="s">
        <v>77</v>
      </c>
      <c r="AA13" s="327" t="s">
        <v>78</v>
      </c>
      <c r="AB13" s="55" t="s">
        <v>79</v>
      </c>
      <c r="AC13" s="7" t="s">
        <v>79</v>
      </c>
      <c r="AD13" s="327" t="s">
        <v>80</v>
      </c>
      <c r="AE13" s="55" t="s">
        <v>58</v>
      </c>
      <c r="AF13" s="128" t="s">
        <v>472</v>
      </c>
      <c r="AG13" s="327" t="s">
        <v>81</v>
      </c>
      <c r="AH13" s="55" t="s">
        <v>24</v>
      </c>
      <c r="AI13" s="128" t="s">
        <v>609</v>
      </c>
      <c r="AJ13" s="371"/>
      <c r="AK13" s="372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57"/>
      <c r="AX13" s="57"/>
      <c r="AY13"/>
      <c r="AZ13" s="4"/>
      <c r="BA13" s="173">
        <v>5</v>
      </c>
      <c r="BB13" s="110">
        <v>2</v>
      </c>
      <c r="BC13" s="108" t="s">
        <v>10</v>
      </c>
      <c r="BD13" s="171" t="s">
        <v>11</v>
      </c>
      <c r="BE13" s="109" t="s">
        <v>11</v>
      </c>
      <c r="BH13" s="459">
        <v>5</v>
      </c>
      <c r="BI13" s="460"/>
      <c r="BJ13" s="461" t="str">
        <f t="shared" si="1"/>
        <v>2</v>
      </c>
      <c r="BK13" s="462" t="str">
        <f t="shared" si="2"/>
        <v>2</v>
      </c>
    </row>
    <row r="14" spans="1:63" s="11" customFormat="1" ht="42.75" customHeight="1">
      <c r="A14" s="3"/>
      <c r="B14" s="3"/>
      <c r="C14" s="2"/>
      <c r="D14" s="2"/>
      <c r="E14" s="2"/>
      <c r="F14" s="2"/>
      <c r="G14" s="376" t="s">
        <v>303</v>
      </c>
      <c r="H14" s="377"/>
      <c r="I14" s="378"/>
      <c r="J14" s="376" t="s">
        <v>82</v>
      </c>
      <c r="K14" s="377"/>
      <c r="L14" s="378"/>
      <c r="M14" s="376" t="s">
        <v>83</v>
      </c>
      <c r="N14" s="377"/>
      <c r="O14" s="378"/>
      <c r="P14" s="376" t="s">
        <v>84</v>
      </c>
      <c r="Q14" s="377"/>
      <c r="R14" s="378"/>
      <c r="S14" s="376" t="s">
        <v>85</v>
      </c>
      <c r="T14" s="377"/>
      <c r="U14" s="378"/>
      <c r="V14" s="376" t="s">
        <v>86</v>
      </c>
      <c r="W14" s="377"/>
      <c r="X14" s="378"/>
      <c r="Y14" s="379" t="s">
        <v>87</v>
      </c>
      <c r="Z14" s="380"/>
      <c r="AA14" s="381"/>
      <c r="AB14" s="325" t="s">
        <v>110</v>
      </c>
      <c r="AC14" s="321" t="s">
        <v>758</v>
      </c>
      <c r="AD14" s="326" t="s">
        <v>907</v>
      </c>
      <c r="AE14" s="379" t="s">
        <v>88</v>
      </c>
      <c r="AF14" s="380"/>
      <c r="AG14" s="381"/>
      <c r="AH14" s="373" t="s">
        <v>89</v>
      </c>
      <c r="AI14" s="374"/>
      <c r="AJ14" s="375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57"/>
      <c r="AX14" s="57"/>
      <c r="AY14"/>
      <c r="AZ14" s="2"/>
      <c r="BA14" s="173">
        <v>6</v>
      </c>
      <c r="BB14" s="110" t="s">
        <v>170</v>
      </c>
      <c r="BC14" s="108" t="s">
        <v>39</v>
      </c>
      <c r="BD14" s="171" t="s">
        <v>40</v>
      </c>
      <c r="BE14" s="109" t="s">
        <v>28</v>
      </c>
      <c r="BH14" s="459">
        <v>6</v>
      </c>
      <c r="BI14" s="460"/>
      <c r="BJ14" s="461" t="str">
        <f t="shared" si="1"/>
        <v>w</v>
      </c>
      <c r="BK14" s="462" t="str">
        <f t="shared" si="2"/>
        <v>w</v>
      </c>
    </row>
    <row r="15" spans="1:63" ht="42.75" customHeight="1" thickBot="1">
      <c r="C15" s="4"/>
      <c r="D15" s="4"/>
      <c r="E15" s="4"/>
      <c r="F15" s="4"/>
      <c r="G15" s="50"/>
      <c r="H15" s="51"/>
      <c r="I15" s="126"/>
      <c r="J15" s="50" t="s">
        <v>92</v>
      </c>
      <c r="K15" s="51"/>
      <c r="L15" s="5" t="s">
        <v>93</v>
      </c>
      <c r="M15" s="50" t="s">
        <v>94</v>
      </c>
      <c r="N15" s="51"/>
      <c r="O15" s="5" t="s">
        <v>95</v>
      </c>
      <c r="P15" s="317" t="s">
        <v>72</v>
      </c>
      <c r="Q15" s="51" t="s">
        <v>170</v>
      </c>
      <c r="R15" s="126" t="s">
        <v>73</v>
      </c>
      <c r="S15" s="50"/>
      <c r="T15" s="51"/>
      <c r="U15" s="126"/>
      <c r="V15" s="328" t="s">
        <v>98</v>
      </c>
      <c r="W15" s="51"/>
      <c r="X15" s="5" t="s">
        <v>99</v>
      </c>
      <c r="Y15" s="327" t="s">
        <v>100</v>
      </c>
      <c r="Z15" s="55" t="s">
        <v>87</v>
      </c>
      <c r="AA15" s="129" t="s">
        <v>904</v>
      </c>
      <c r="AB15" s="327" t="s">
        <v>322</v>
      </c>
      <c r="AC15" s="55" t="s">
        <v>53</v>
      </c>
      <c r="AD15" s="128" t="s">
        <v>53</v>
      </c>
      <c r="AE15" s="56"/>
      <c r="AF15" s="54"/>
      <c r="AG15" s="7"/>
      <c r="AH15" s="327" t="s">
        <v>115</v>
      </c>
      <c r="AI15" s="55" t="s">
        <v>25</v>
      </c>
      <c r="AJ15" s="128" t="s">
        <v>314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57"/>
      <c r="AX15" s="57"/>
      <c r="AZ15" s="4"/>
      <c r="BA15" s="173">
        <v>7</v>
      </c>
      <c r="BB15" s="110" t="s">
        <v>99</v>
      </c>
      <c r="BC15" s="108" t="s">
        <v>67</v>
      </c>
      <c r="BD15" s="171" t="s">
        <v>68</v>
      </c>
      <c r="BE15" s="109" t="s">
        <v>68</v>
      </c>
      <c r="BH15" s="459">
        <v>7</v>
      </c>
      <c r="BI15" s="460"/>
      <c r="BJ15" s="461" t="str">
        <f t="shared" si="1"/>
        <v>s</v>
      </c>
      <c r="BK15" s="462" t="str">
        <f t="shared" si="2"/>
        <v>s</v>
      </c>
    </row>
    <row r="16" spans="1:63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57"/>
      <c r="AX16" s="57"/>
      <c r="AY16"/>
      <c r="BA16" s="173">
        <v>8</v>
      </c>
      <c r="BB16" s="110" t="s">
        <v>171</v>
      </c>
      <c r="BC16" s="108" t="s">
        <v>92</v>
      </c>
      <c r="BD16" s="171" t="s">
        <v>93</v>
      </c>
      <c r="BE16" s="109" t="s">
        <v>93</v>
      </c>
      <c r="BH16" s="459">
        <v>8</v>
      </c>
      <c r="BI16" s="460"/>
      <c r="BJ16" s="461" t="str">
        <f t="shared" si="1"/>
        <v>x</v>
      </c>
      <c r="BK16" s="462" t="str">
        <f t="shared" si="2"/>
        <v>x</v>
      </c>
    </row>
    <row r="17" spans="1:63" s="12" customFormat="1" ht="38.1" customHeight="1">
      <c r="B17" s="140" t="s">
        <v>359</v>
      </c>
      <c r="AW17" s="57"/>
      <c r="AX17" s="57"/>
      <c r="AY17"/>
      <c r="AZ17" s="60"/>
      <c r="BA17" s="173">
        <v>9</v>
      </c>
      <c r="BB17" s="110" t="s">
        <v>53</v>
      </c>
      <c r="BC17" s="108" t="s">
        <v>41</v>
      </c>
      <c r="BD17" s="171" t="s">
        <v>42</v>
      </c>
      <c r="BE17" s="109" t="s">
        <v>42</v>
      </c>
      <c r="BH17" s="459">
        <v>9</v>
      </c>
      <c r="BI17" s="460"/>
      <c r="BJ17" s="461" t="str">
        <f t="shared" si="1"/>
        <v>e</v>
      </c>
      <c r="BK17" s="462" t="str">
        <f t="shared" si="2"/>
        <v>e</v>
      </c>
    </row>
    <row r="18" spans="1:63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57"/>
      <c r="AX18" s="57"/>
      <c r="AY18"/>
      <c r="AZ18" s="60"/>
      <c r="BA18" s="173">
        <v>10</v>
      </c>
      <c r="BB18" s="110" t="s">
        <v>26</v>
      </c>
      <c r="BC18" s="108" t="s">
        <v>44</v>
      </c>
      <c r="BD18" s="171" t="s">
        <v>45</v>
      </c>
      <c r="BE18" s="109" t="s">
        <v>45</v>
      </c>
      <c r="BH18" s="459">
        <v>10</v>
      </c>
      <c r="BI18" s="460"/>
      <c r="BJ18" s="461" t="str">
        <f t="shared" si="1"/>
        <v>E</v>
      </c>
      <c r="BK18" s="462" t="str">
        <f t="shared" si="2"/>
        <v>E</v>
      </c>
    </row>
    <row r="19" spans="1:63" s="12" customFormat="1" ht="38.1" customHeight="1">
      <c r="B19" s="63" t="str">
        <f>B6</f>
        <v>字典編碼</v>
      </c>
      <c r="C19" s="177">
        <f xml:space="preserve"> LEN(D19)</f>
        <v>47</v>
      </c>
      <c r="D19" s="64" t="str">
        <f xml:space="preserve"> _xlfn.CONCAT(D6:AX6)</f>
        <v>pbPmtTnlkgKhwcjCsiuMaOoeDWIULQZXRSEVFYHBA123570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59" t="s">
        <v>894</v>
      </c>
      <c r="AK19" s="60" t="e">
        <f>FIND(AJ19, D19)</f>
        <v>#VALUE!</v>
      </c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57"/>
      <c r="AX19" s="57"/>
      <c r="AY19"/>
      <c r="AZ19" s="60"/>
      <c r="BA19" s="173">
        <v>11</v>
      </c>
      <c r="BB19" s="110" t="s">
        <v>163</v>
      </c>
      <c r="BC19" s="108" t="s">
        <v>69</v>
      </c>
      <c r="BD19" s="171" t="s">
        <v>70</v>
      </c>
      <c r="BE19" s="109" t="s">
        <v>62</v>
      </c>
      <c r="BH19" s="459">
        <v>11</v>
      </c>
      <c r="BI19" s="460"/>
      <c r="BJ19" s="461" t="str">
        <f t="shared" si="1"/>
        <v>d</v>
      </c>
      <c r="BK19" s="462" t="str">
        <f t="shared" si="2"/>
        <v>d</v>
      </c>
    </row>
    <row r="20" spans="1:63" s="12" customFormat="1" ht="38.1" customHeight="1">
      <c r="B20" s="70" t="str">
        <f>B3</f>
        <v>按鍵字元</v>
      </c>
      <c r="C20" s="176">
        <f>LEN(D20)</f>
        <v>47</v>
      </c>
      <c r="D20" s="72" t="str">
        <f xml:space="preserve"> _xlfn.CONCAT(D3:AX3)</f>
        <v>1!qa2wsxeEdcvyYhnujm8ik,p/9l0;UJ*I&lt;(Lrfvz 43657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60" t="e">
        <f xml:space="preserve"> MID(D20,AK19,1)</f>
        <v>#VALUE!</v>
      </c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57"/>
      <c r="AX20" s="57"/>
      <c r="AY20"/>
      <c r="AZ20" s="60"/>
      <c r="BA20" s="173">
        <v>12</v>
      </c>
      <c r="BB20" s="110" t="s">
        <v>166</v>
      </c>
      <c r="BC20" s="108" t="s">
        <v>94</v>
      </c>
      <c r="BD20" s="171" t="s">
        <v>95</v>
      </c>
      <c r="BE20" s="109" t="s">
        <v>95</v>
      </c>
      <c r="BH20" s="459">
        <v>12</v>
      </c>
      <c r="BI20" s="460"/>
      <c r="BJ20" s="461" t="str">
        <f t="shared" si="1"/>
        <v>D</v>
      </c>
      <c r="BK20" s="462" t="str">
        <f t="shared" si="2"/>
        <v>D</v>
      </c>
    </row>
    <row r="21" spans="1:63" s="12" customFormat="1" ht="38.1" customHeight="1">
      <c r="B21" s="139" t="str">
        <f xml:space="preserve"> "- xlit|" &amp; D19 &amp; "|" &amp; D20 &amp; "|"</f>
        <v>- xlit|pbPmtTnlkgKhwcjCsiuMaOoeDWIULQZXRSEVFYHBA123570|1!qa2wsxeEdcvyYhnujm8ik,p/9l0;UJ*I&lt;(Lrfvz 43657|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57"/>
      <c r="AX21" s="57"/>
      <c r="AY21"/>
      <c r="AZ21" s="60"/>
      <c r="BA21" s="173">
        <v>13</v>
      </c>
      <c r="BB21" s="110" t="s">
        <v>174</v>
      </c>
      <c r="BC21" s="108" t="s">
        <v>72</v>
      </c>
      <c r="BD21" s="171" t="s">
        <v>73</v>
      </c>
      <c r="BE21" s="109" t="s">
        <v>170</v>
      </c>
      <c r="BH21" s="459">
        <v>13</v>
      </c>
      <c r="BI21" s="460"/>
      <c r="BJ21" s="461" t="str">
        <f t="shared" si="1"/>
        <v>c</v>
      </c>
      <c r="BK21" s="462" t="str">
        <f t="shared" si="2"/>
        <v>c</v>
      </c>
    </row>
    <row r="22" spans="1:63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57"/>
      <c r="AX22" s="57"/>
      <c r="AY22"/>
      <c r="AZ22" s="60"/>
      <c r="BA22" s="173">
        <v>14</v>
      </c>
      <c r="BB22" s="110" t="s">
        <v>175</v>
      </c>
      <c r="BC22" s="108" t="s">
        <v>46</v>
      </c>
      <c r="BD22" s="171" t="s">
        <v>166</v>
      </c>
      <c r="BE22" s="109" t="s">
        <v>166</v>
      </c>
      <c r="BH22" s="459">
        <v>14</v>
      </c>
      <c r="BI22" s="460"/>
      <c r="BJ22" s="461" t="str">
        <f t="shared" si="1"/>
        <v>r</v>
      </c>
      <c r="BK22" s="462" t="str">
        <f t="shared" si="2"/>
        <v>r</v>
      </c>
    </row>
    <row r="23" spans="1:63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57"/>
      <c r="AX23" s="57"/>
      <c r="AY23"/>
      <c r="AZ23" s="60"/>
      <c r="BA23" s="173">
        <v>15</v>
      </c>
      <c r="BB23" s="110" t="s">
        <v>29</v>
      </c>
      <c r="BC23" s="108" t="s">
        <v>106</v>
      </c>
      <c r="BD23" s="171" t="s">
        <v>97</v>
      </c>
      <c r="BE23" s="109" t="s">
        <v>97</v>
      </c>
      <c r="BH23" s="459">
        <v>15</v>
      </c>
      <c r="BI23" s="460"/>
      <c r="BJ23" s="461" t="str">
        <f t="shared" si="1"/>
        <v>R</v>
      </c>
      <c r="BK23" s="462" t="str">
        <f t="shared" si="2"/>
        <v>R</v>
      </c>
    </row>
    <row r="24" spans="1:63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57"/>
      <c r="AX24" s="57"/>
      <c r="AY24"/>
      <c r="AZ24" s="60"/>
      <c r="BA24" s="173">
        <v>16</v>
      </c>
      <c r="BB24" s="110" t="s">
        <v>95</v>
      </c>
      <c r="BC24" s="108" t="s">
        <v>74</v>
      </c>
      <c r="BD24" s="171" t="s">
        <v>805</v>
      </c>
      <c r="BE24" s="109" t="s">
        <v>83</v>
      </c>
      <c r="BH24" s="459">
        <v>16</v>
      </c>
      <c r="BI24" s="460"/>
      <c r="BJ24" s="461" t="str">
        <f t="shared" si="1"/>
        <v>f</v>
      </c>
      <c r="BK24" s="462" t="str">
        <f t="shared" si="2"/>
        <v>f</v>
      </c>
    </row>
    <row r="25" spans="1:63" ht="38.1" customHeight="1">
      <c r="A25" s="12"/>
      <c r="B25" s="73" t="str">
        <f>B3</f>
        <v>按鍵字元</v>
      </c>
      <c r="C25" s="178">
        <f xml:space="preserve"> LEN(D25)</f>
        <v>47</v>
      </c>
      <c r="D25" s="71" t="str">
        <f xml:space="preserve"> _xlfn.CONCAT(D3:AX3)</f>
        <v>1!qa2wsxeEdcvyYhnujm8ik,p/9l0;UJ*I&lt;(Lrfvz 43657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 t="str">
        <f xml:space="preserve"> _xlfn.CONCAT(D3:AR3, AT3:AX3)</f>
        <v>1!qa2wsxeEdcvyYhnujm8ik,p/9l0;UJ*I&lt;(Lrfvz43657</v>
      </c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57"/>
      <c r="AX25" s="57"/>
      <c r="AZ25" s="60"/>
      <c r="BA25" s="173">
        <v>17</v>
      </c>
      <c r="BB25" s="110" t="s">
        <v>68</v>
      </c>
      <c r="BC25" s="108" t="s">
        <v>98</v>
      </c>
      <c r="BD25" s="171" t="s">
        <v>99</v>
      </c>
      <c r="BE25" s="109" t="s">
        <v>99</v>
      </c>
      <c r="BH25" s="459">
        <v>17</v>
      </c>
      <c r="BI25" s="460"/>
      <c r="BJ25" s="461" t="str">
        <f t="shared" si="1"/>
        <v>v</v>
      </c>
      <c r="BK25" s="462" t="str">
        <f t="shared" si="2"/>
        <v>v</v>
      </c>
    </row>
    <row r="26" spans="1:63" ht="38.1" customHeight="1">
      <c r="B26" s="65" t="str">
        <f>B4</f>
        <v>注音符號</v>
      </c>
      <c r="C26" s="179">
        <f>LEN(D26)</f>
        <v>47</v>
      </c>
      <c r="D26" s="65" t="str">
        <f xml:space="preserve"> _xlfn.CONCAT(D4:AX4)</f>
        <v>ㄅㆠㄆㄇㄉㄊㄋㄌㄍㆣㄎㄏㄫㄗㆡㄘㄙㄧㄨㆬㄚㆦㄜㄝㄣㄥㄞㄠㄢㄤㆪㆫㆩㆧㆥㆮㆯㆲㆱㆰ声ˉˋ˪ˊ˫．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 t="str">
        <f xml:space="preserve"> _xlfn.CONCAT(D32, AT4:AX4)</f>
        <v>ㄅㆠㄆㄇㄉㄊㄋㄌㄍㆣㄎㄏㄫㄗㆡㄘㄙㄧㄨㆬㄚㆦㄜㄝㄣㄥㄞㄠㄢㄤㆪㆫㆩㆧㆥㆮㆯㆲㆱㆰ声ˋ˪ˊ˫．ˋ˪ˊ˫．</v>
      </c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57"/>
      <c r="AX26" s="57"/>
      <c r="AZ26" s="60"/>
      <c r="BA26" s="173">
        <v>18</v>
      </c>
      <c r="BB26" s="110" t="s">
        <v>77</v>
      </c>
      <c r="BC26" s="108" t="s">
        <v>48</v>
      </c>
      <c r="BD26" s="171" t="s">
        <v>49</v>
      </c>
      <c r="BE26" s="109" t="s">
        <v>49</v>
      </c>
      <c r="BH26" s="459">
        <v>18</v>
      </c>
      <c r="BI26" s="460"/>
      <c r="BJ26" s="461" t="str">
        <f t="shared" si="1"/>
        <v>y</v>
      </c>
      <c r="BK26" s="462" t="str">
        <f t="shared" si="2"/>
        <v>y</v>
      </c>
    </row>
    <row r="27" spans="1:63" ht="38.1" customHeight="1">
      <c r="B27" s="139" t="str">
        <f xml:space="preserve"> "- xlit|" &amp; D25 &amp; "|" &amp; D26 &amp; "|"</f>
        <v>- xlit|1!qa2wsxeEdcvyYhnujm8ik,p/9l0;UJ*I&lt;(Lrfvz 43657|ㄅㆠㄆㄇㄉㄊㄋㄌㄍㆣㄎㄏㄫㄗㆡㄘㄙㄧㄨㆬㄚㆦㄜㄝㄣㄥㄞㄠㄢㄤㆪㆫㆩㆧㆥㆮㆯㆲㆱㆰ声ˉˋ˪ˊ˫．|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57"/>
      <c r="AX27" s="57"/>
      <c r="AZ27" s="60"/>
      <c r="BA27" s="173">
        <v>19</v>
      </c>
      <c r="BB27" s="110" t="s">
        <v>97</v>
      </c>
      <c r="BC27" s="108" t="s">
        <v>76</v>
      </c>
      <c r="BD27" s="171" t="s">
        <v>77</v>
      </c>
      <c r="BE27" s="109" t="s">
        <v>77</v>
      </c>
      <c r="BH27" s="459">
        <v>19</v>
      </c>
      <c r="BI27" s="460"/>
      <c r="BJ27" s="461" t="str">
        <f t="shared" si="1"/>
        <v>Y</v>
      </c>
      <c r="BK27" s="462" t="str">
        <f t="shared" si="2"/>
        <v>Y</v>
      </c>
    </row>
    <row r="28" spans="1:63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57"/>
      <c r="AX28" s="57"/>
      <c r="AZ28" s="60"/>
      <c r="BA28" s="173">
        <v>20</v>
      </c>
      <c r="BB28" s="110" t="s">
        <v>66</v>
      </c>
      <c r="BC28" s="108" t="s">
        <v>100</v>
      </c>
      <c r="BD28" s="171" t="s">
        <v>904</v>
      </c>
      <c r="BE28" s="109" t="s">
        <v>87</v>
      </c>
      <c r="BH28" s="459">
        <v>20</v>
      </c>
      <c r="BI28" s="460"/>
      <c r="BJ28" s="461" t="str">
        <f t="shared" si="1"/>
        <v>h</v>
      </c>
      <c r="BK28" s="462" t="str">
        <f t="shared" si="2"/>
        <v>h</v>
      </c>
    </row>
    <row r="29" spans="1:63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57"/>
      <c r="AX29" s="57"/>
      <c r="AZ29" s="60"/>
      <c r="BA29" s="173">
        <v>21</v>
      </c>
      <c r="BB29" s="110">
        <v>8</v>
      </c>
      <c r="BC29" s="108" t="s">
        <v>20</v>
      </c>
      <c r="BD29" s="171" t="s">
        <v>21</v>
      </c>
      <c r="BE29" s="109" t="s">
        <v>21</v>
      </c>
      <c r="BH29" s="459">
        <v>21</v>
      </c>
      <c r="BI29" s="460"/>
      <c r="BJ29" s="461" t="str">
        <f t="shared" si="1"/>
        <v>n</v>
      </c>
      <c r="BK29" s="462" t="str">
        <f t="shared" si="2"/>
        <v>n</v>
      </c>
    </row>
    <row r="30" spans="1:63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173">
        <v>22</v>
      </c>
      <c r="BB30" s="110" t="s">
        <v>49</v>
      </c>
      <c r="BC30" s="108" t="s">
        <v>50</v>
      </c>
      <c r="BD30" s="171" t="s">
        <v>51</v>
      </c>
      <c r="BE30" s="109" t="s">
        <v>32</v>
      </c>
      <c r="BH30" s="459">
        <v>22</v>
      </c>
      <c r="BI30" s="460"/>
      <c r="BJ30" s="461" t="str">
        <f t="shared" si="1"/>
        <v>8</v>
      </c>
      <c r="BK30" s="462" t="str">
        <f t="shared" si="2"/>
        <v>8</v>
      </c>
    </row>
    <row r="31" spans="1:63" ht="38.1" customHeight="1">
      <c r="B31" s="73" t="str">
        <f>B6</f>
        <v>字典編碼</v>
      </c>
      <c r="C31" s="178">
        <f xml:space="preserve"> LEN(D31)</f>
        <v>46</v>
      </c>
      <c r="D31" s="71" t="str">
        <f xml:space="preserve"> _xlfn.CONCAT(D6:AR6, AT6:AX6)</f>
        <v>pbPmtTnlkgKhwcjCsiuMaOoeDWIULQZXRSEVFYHBA23570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173">
        <v>23</v>
      </c>
      <c r="BB31" s="110" t="s">
        <v>42</v>
      </c>
      <c r="BC31" s="108" t="s">
        <v>78</v>
      </c>
      <c r="BD31" s="171" t="s">
        <v>79</v>
      </c>
      <c r="BE31" s="109" t="s">
        <v>79</v>
      </c>
      <c r="BH31" s="459">
        <v>23</v>
      </c>
      <c r="BI31" s="460"/>
      <c r="BJ31" s="461" t="str">
        <f t="shared" si="1"/>
        <v>*</v>
      </c>
      <c r="BK31" s="462" t="str">
        <f t="shared" si="2"/>
        <v>*</v>
      </c>
    </row>
    <row r="32" spans="1:63" s="12" customFormat="1" ht="38.1" customHeight="1">
      <c r="A32"/>
      <c r="B32" s="65" t="str">
        <f>B4</f>
        <v>注音符號</v>
      </c>
      <c r="C32" s="179">
        <f>LEN(D32)</f>
        <v>46</v>
      </c>
      <c r="D32" s="65" t="str">
        <f xml:space="preserve"> _xlfn.CONCAT(D4:AR4, AT4:AX4)</f>
        <v>ㄅㆠㄆㄇㄉㄊㄋㄌㄍㆣㄎㄏㄫㄗㆡㄘㄙㄧㄨㆬㄚㆦㄜㄝㄣㄥㄞㄠㄢㄤㆪㆫㆩㆧㆥㆮㆯㆲㆱㆰ声ˋ˪ˊ˫．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173">
        <v>24</v>
      </c>
      <c r="BB32" s="110" t="s">
        <v>180</v>
      </c>
      <c r="BC32" s="108" t="s">
        <v>322</v>
      </c>
      <c r="BD32" s="171" t="s">
        <v>53</v>
      </c>
      <c r="BE32" s="109" t="s">
        <v>53</v>
      </c>
      <c r="BH32" s="459">
        <v>24</v>
      </c>
      <c r="BI32" s="460"/>
      <c r="BJ32" s="461" t="str">
        <f t="shared" si="1"/>
        <v>i</v>
      </c>
      <c r="BK32" s="462" t="str">
        <f t="shared" si="2"/>
        <v>i</v>
      </c>
    </row>
    <row r="33" spans="1:63" s="12" customFormat="1" ht="38.1" customHeight="1">
      <c r="B33" s="139" t="str">
        <f xml:space="preserve"> "- xlit|" &amp; D31 &amp; "|" &amp; D32 &amp; "|"</f>
        <v>- xlit|pbPmtTnlkgKhwcjCsiuMaOoeDWIULQZXRSEVFYHBA23570|ㄅㆠㄆㄇㄉㄊㄋㄌㄍㆣㄎㄏㄫㄗㆡㄘㄙㄧㄨㆬㄚㆦㄜㄝㄣㄥㄞㄠㄢㄤㆪㆫㆩㆧㆥㆮㆯㆲㆱㆰ声ˋ˪ˊ˫．|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173">
        <v>25</v>
      </c>
      <c r="BB33" s="110" t="s">
        <v>9</v>
      </c>
      <c r="BC33" s="108" t="s">
        <v>54</v>
      </c>
      <c r="BD33" s="171" t="s">
        <v>329</v>
      </c>
      <c r="BE33" s="109" t="s">
        <v>57</v>
      </c>
      <c r="BH33" s="459">
        <v>25</v>
      </c>
      <c r="BI33" s="460"/>
      <c r="BJ33" s="461" t="str">
        <f t="shared" si="1"/>
        <v>I</v>
      </c>
      <c r="BK33" s="462" t="str">
        <f t="shared" si="2"/>
        <v>I</v>
      </c>
    </row>
    <row r="34" spans="1:63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2"/>
      <c r="BA34" s="173">
        <v>26</v>
      </c>
      <c r="BB34" s="110" t="s">
        <v>184</v>
      </c>
      <c r="BC34" s="108" t="s">
        <v>115</v>
      </c>
      <c r="BD34" s="171" t="s">
        <v>314</v>
      </c>
      <c r="BE34" s="109" t="s">
        <v>25</v>
      </c>
      <c r="BH34" s="459">
        <v>26</v>
      </c>
      <c r="BI34" s="460"/>
      <c r="BJ34" s="461" t="str">
        <f t="shared" si="1"/>
        <v>k</v>
      </c>
      <c r="BK34" s="462" t="str">
        <f t="shared" si="2"/>
        <v>k</v>
      </c>
    </row>
    <row r="35" spans="1:63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173">
        <v>27</v>
      </c>
      <c r="BB35" s="110">
        <v>9</v>
      </c>
      <c r="BC35" s="108" t="s">
        <v>22</v>
      </c>
      <c r="BD35" s="171" t="s">
        <v>469</v>
      </c>
      <c r="BE35" s="109" t="s">
        <v>31</v>
      </c>
      <c r="BH35" s="459">
        <v>27</v>
      </c>
      <c r="BI35" s="460"/>
      <c r="BJ35" s="461" t="str">
        <f t="shared" si="1"/>
        <v>o</v>
      </c>
      <c r="BK35" s="462" t="str">
        <f t="shared" si="2"/>
        <v>o</v>
      </c>
    </row>
    <row r="36" spans="1:63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173">
        <v>28</v>
      </c>
      <c r="BB36" s="110" t="s">
        <v>93</v>
      </c>
      <c r="BC36" s="108" t="s">
        <v>80</v>
      </c>
      <c r="BD36" s="171" t="s">
        <v>472</v>
      </c>
      <c r="BE36" s="109" t="s">
        <v>30</v>
      </c>
      <c r="BH36" s="459">
        <v>28</v>
      </c>
      <c r="BI36" s="460"/>
      <c r="BJ36" s="461" t="str">
        <f t="shared" si="1"/>
        <v>O</v>
      </c>
      <c r="BK36" s="462" t="str">
        <f t="shared" si="2"/>
        <v>O</v>
      </c>
    </row>
    <row r="37" spans="1:63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173">
        <v>29</v>
      </c>
      <c r="BB37" s="110">
        <v>0</v>
      </c>
      <c r="BC37" s="108" t="s">
        <v>23</v>
      </c>
      <c r="BD37" s="171" t="s">
        <v>606</v>
      </c>
      <c r="BE37" s="109" t="s">
        <v>63</v>
      </c>
      <c r="BH37" s="459">
        <v>29</v>
      </c>
      <c r="BI37" s="460"/>
      <c r="BJ37" s="461" t="str">
        <f t="shared" si="1"/>
        <v>9</v>
      </c>
      <c r="BK37" s="462" t="str">
        <f t="shared" si="2"/>
        <v>9</v>
      </c>
    </row>
    <row r="38" spans="1:63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173">
        <v>30</v>
      </c>
      <c r="BB38" s="110" t="s">
        <v>183</v>
      </c>
      <c r="BC38" s="108" t="s">
        <v>81</v>
      </c>
      <c r="BD38" s="171" t="s">
        <v>609</v>
      </c>
      <c r="BE38" s="109" t="s">
        <v>24</v>
      </c>
      <c r="BH38" s="459">
        <v>30</v>
      </c>
      <c r="BI38" s="460"/>
      <c r="BJ38" s="461" t="str">
        <f t="shared" si="1"/>
        <v>(</v>
      </c>
      <c r="BK38" s="462" t="str">
        <f t="shared" si="2"/>
        <v>(</v>
      </c>
    </row>
    <row r="39" spans="1:63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173">
        <v>31</v>
      </c>
      <c r="BB39" s="110" t="s">
        <v>30</v>
      </c>
      <c r="BC39" s="108" t="s">
        <v>116</v>
      </c>
      <c r="BD39" s="171" t="s">
        <v>604</v>
      </c>
      <c r="BE39" s="109" t="s">
        <v>804</v>
      </c>
      <c r="BH39" s="459">
        <v>31</v>
      </c>
      <c r="BI39" s="460"/>
      <c r="BJ39" s="461" t="str">
        <f t="shared" si="1"/>
        <v>l</v>
      </c>
      <c r="BK39" s="462" t="str">
        <f t="shared" si="2"/>
        <v>l</v>
      </c>
    </row>
    <row r="40" spans="1:63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173">
        <v>32</v>
      </c>
      <c r="BB40" s="110" t="s">
        <v>61</v>
      </c>
      <c r="BC40" s="108" t="s">
        <v>117</v>
      </c>
      <c r="BD40" s="171" t="s">
        <v>605</v>
      </c>
      <c r="BE40" s="109" t="s">
        <v>82</v>
      </c>
      <c r="BH40" s="459">
        <v>32</v>
      </c>
      <c r="BI40" s="460"/>
      <c r="BJ40" s="461" t="str">
        <f t="shared" si="1"/>
        <v>L</v>
      </c>
      <c r="BK40" s="462" t="str">
        <f t="shared" si="2"/>
        <v>L</v>
      </c>
    </row>
    <row r="41" spans="1:63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173">
        <v>33</v>
      </c>
      <c r="BB41" s="110" t="s">
        <v>177</v>
      </c>
      <c r="BC41" s="108" t="s">
        <v>107</v>
      </c>
      <c r="BD41" s="171" t="s">
        <v>606</v>
      </c>
      <c r="BE41" s="109" t="s">
        <v>27</v>
      </c>
      <c r="BH41" s="459">
        <v>33</v>
      </c>
      <c r="BI41" s="460"/>
      <c r="BJ41" s="461" t="str">
        <f t="shared" si="1"/>
        <v>,</v>
      </c>
      <c r="BK41" s="462" t="str">
        <f t="shared" si="2"/>
        <v>,</v>
      </c>
    </row>
    <row r="42" spans="1:63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173">
        <v>34</v>
      </c>
      <c r="BB42" s="110" t="s">
        <v>31</v>
      </c>
      <c r="BC42" s="108" t="s">
        <v>108</v>
      </c>
      <c r="BD42" s="171" t="s">
        <v>906</v>
      </c>
      <c r="BE42" s="109" t="s">
        <v>56</v>
      </c>
      <c r="BH42" s="459">
        <v>34</v>
      </c>
      <c r="BI42" s="460"/>
      <c r="BJ42" s="461" t="str">
        <f t="shared" si="1"/>
        <v>&lt;</v>
      </c>
      <c r="BK42" s="462" t="str">
        <f t="shared" si="2"/>
        <v>&lt;</v>
      </c>
    </row>
    <row r="43" spans="1:63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173">
        <v>35</v>
      </c>
      <c r="BB43" s="110" t="s">
        <v>181</v>
      </c>
      <c r="BC43" s="108" t="s">
        <v>110</v>
      </c>
      <c r="BD43" s="171" t="s">
        <v>907</v>
      </c>
      <c r="BE43" s="109" t="s">
        <v>26</v>
      </c>
      <c r="BH43" s="459">
        <v>35</v>
      </c>
      <c r="BI43" s="460"/>
      <c r="BJ43" s="461" t="str">
        <f t="shared" si="1"/>
        <v>m</v>
      </c>
      <c r="BK43" s="462" t="str">
        <f t="shared" si="2"/>
        <v>m</v>
      </c>
    </row>
    <row r="44" spans="1:63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173">
        <v>36</v>
      </c>
      <c r="BB44" s="110" t="s">
        <v>179</v>
      </c>
      <c r="BC44" s="108" t="s">
        <v>111</v>
      </c>
      <c r="BD44" s="171" t="s">
        <v>908</v>
      </c>
      <c r="BE44" s="109" t="s">
        <v>84</v>
      </c>
      <c r="BH44" s="459">
        <v>36</v>
      </c>
      <c r="BI44" s="460"/>
      <c r="BJ44" s="461" t="str">
        <f t="shared" si="1"/>
        <v>0</v>
      </c>
      <c r="BK44" s="462" t="str">
        <f t="shared" si="2"/>
        <v>0</v>
      </c>
    </row>
    <row r="45" spans="1:63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173">
        <v>37</v>
      </c>
      <c r="BB45" s="110" t="s">
        <v>63</v>
      </c>
      <c r="BC45" s="108" t="s">
        <v>112</v>
      </c>
      <c r="BD45" s="171" t="s">
        <v>909</v>
      </c>
      <c r="BE45" s="109" t="s">
        <v>58</v>
      </c>
      <c r="BH45" s="459">
        <v>37</v>
      </c>
      <c r="BI45" s="460"/>
      <c r="BJ45" s="461" t="str">
        <f t="shared" si="1"/>
        <v>p</v>
      </c>
      <c r="BK45" s="462" t="str">
        <f t="shared" si="2"/>
        <v>p</v>
      </c>
    </row>
    <row r="46" spans="1:63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173">
        <v>38</v>
      </c>
      <c r="BB46" s="110" t="s">
        <v>172</v>
      </c>
      <c r="BC46" s="108" t="s">
        <v>101</v>
      </c>
      <c r="BD46" s="171" t="s">
        <v>612</v>
      </c>
      <c r="BE46" s="109" t="s">
        <v>29</v>
      </c>
      <c r="BH46" s="459">
        <v>38</v>
      </c>
      <c r="BI46" s="460"/>
      <c r="BJ46" s="461" t="str">
        <f t="shared" si="1"/>
        <v>;</v>
      </c>
      <c r="BK46" s="462" t="str">
        <f t="shared" si="2"/>
        <v>;</v>
      </c>
    </row>
    <row r="47" spans="1:63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173">
        <v>39</v>
      </c>
      <c r="BB47" s="110" t="s">
        <v>173</v>
      </c>
      <c r="BC47" s="108" t="s">
        <v>114</v>
      </c>
      <c r="BD47" s="171" t="s">
        <v>603</v>
      </c>
      <c r="BE47" s="109" t="s">
        <v>60</v>
      </c>
      <c r="BH47" s="459">
        <v>39</v>
      </c>
      <c r="BI47" s="460"/>
      <c r="BJ47" s="461" t="str">
        <f t="shared" si="1"/>
        <v>:</v>
      </c>
      <c r="BK47" s="462" t="str">
        <f t="shared" si="2"/>
        <v>:</v>
      </c>
    </row>
    <row r="48" spans="1:63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173">
        <v>40</v>
      </c>
      <c r="BB48" s="110" t="s">
        <v>174</v>
      </c>
      <c r="BC48" s="108" t="s">
        <v>113</v>
      </c>
      <c r="BD48" s="171" t="s">
        <v>600</v>
      </c>
      <c r="BE48" s="109" t="s">
        <v>85</v>
      </c>
      <c r="BH48" s="459">
        <v>40</v>
      </c>
      <c r="BI48" s="460"/>
      <c r="BJ48" s="461" t="str">
        <f t="shared" si="1"/>
        <v>/</v>
      </c>
      <c r="BK48" s="462" t="str">
        <f t="shared" si="2"/>
        <v>/</v>
      </c>
    </row>
    <row r="49" spans="2:63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173">
        <v>41</v>
      </c>
      <c r="BB49" s="110" t="s">
        <v>933</v>
      </c>
      <c r="BC49" s="108" t="s">
        <v>911</v>
      </c>
      <c r="BD49" s="171" t="s">
        <v>912</v>
      </c>
      <c r="BE49" s="109" t="s">
        <v>806</v>
      </c>
      <c r="BH49" s="459">
        <v>41</v>
      </c>
      <c r="BI49" s="460"/>
      <c r="BJ49" s="461" t="str">
        <f t="shared" si="1"/>
        <v>-</v>
      </c>
      <c r="BK49" s="462" t="str">
        <f t="shared" si="2"/>
        <v>-</v>
      </c>
    </row>
    <row r="50" spans="2:63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173">
        <v>42</v>
      </c>
      <c r="BB50" s="110" t="s">
        <v>118</v>
      </c>
      <c r="BC50" s="108" t="s">
        <v>807</v>
      </c>
      <c r="BD50" s="171">
        <v>1</v>
      </c>
      <c r="BE50" s="109">
        <v>1</v>
      </c>
      <c r="BH50" s="459">
        <v>42</v>
      </c>
      <c r="BI50" s="460"/>
      <c r="BJ50" s="461" t="str">
        <f t="shared" si="1"/>
        <v>u</v>
      </c>
      <c r="BK50" s="462" t="str">
        <f t="shared" si="2"/>
        <v>u</v>
      </c>
    </row>
    <row r="51" spans="2:63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173">
        <v>43</v>
      </c>
      <c r="BB51" s="110">
        <v>4</v>
      </c>
      <c r="BC51" s="108" t="s">
        <v>14</v>
      </c>
      <c r="BD51" s="171">
        <v>2</v>
      </c>
      <c r="BE51" s="109">
        <v>2</v>
      </c>
      <c r="BH51" s="459">
        <v>43</v>
      </c>
      <c r="BI51" s="460"/>
      <c r="BJ51" s="461" t="str">
        <f t="shared" si="1"/>
        <v>U</v>
      </c>
      <c r="BK51" s="462" t="str">
        <f t="shared" si="2"/>
        <v>U</v>
      </c>
    </row>
    <row r="52" spans="2:63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173">
        <v>44</v>
      </c>
      <c r="BB52" s="110">
        <v>3</v>
      </c>
      <c r="BC52" s="108" t="s">
        <v>12</v>
      </c>
      <c r="BD52" s="171">
        <v>3</v>
      </c>
      <c r="BE52" s="109">
        <v>3</v>
      </c>
      <c r="BH52" s="459">
        <v>44</v>
      </c>
      <c r="BI52" s="460"/>
      <c r="BJ52" s="461" t="str">
        <f t="shared" si="1"/>
        <v>j</v>
      </c>
      <c r="BK52" s="462" t="str">
        <f t="shared" si="2"/>
        <v>j</v>
      </c>
    </row>
    <row r="53" spans="2:63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173">
        <v>45</v>
      </c>
      <c r="BB53" s="110">
        <v>6</v>
      </c>
      <c r="BC53" s="108" t="s">
        <v>18</v>
      </c>
      <c r="BD53" s="171">
        <v>5</v>
      </c>
      <c r="BE53" s="109">
        <v>5</v>
      </c>
      <c r="BH53" s="459">
        <v>45</v>
      </c>
      <c r="BI53" s="460"/>
      <c r="BJ53" s="461" t="str">
        <f t="shared" si="1"/>
        <v>J</v>
      </c>
      <c r="BK53" s="462" t="str">
        <f t="shared" si="2"/>
        <v>J</v>
      </c>
    </row>
    <row r="54" spans="2:63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173">
        <v>46</v>
      </c>
      <c r="BB54" s="110">
        <v>5</v>
      </c>
      <c r="BC54" s="108" t="s">
        <v>16</v>
      </c>
      <c r="BD54" s="171">
        <v>7</v>
      </c>
      <c r="BE54" s="109">
        <v>7</v>
      </c>
      <c r="BH54" s="459">
        <v>46</v>
      </c>
      <c r="BI54" s="460"/>
      <c r="BJ54" s="461" t="str">
        <f t="shared" si="1"/>
        <v xml:space="preserve"> </v>
      </c>
      <c r="BK54" s="462" t="str">
        <f t="shared" si="2"/>
        <v>4</v>
      </c>
    </row>
    <row r="55" spans="2:63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173">
        <v>47</v>
      </c>
      <c r="BB55" s="110">
        <v>7</v>
      </c>
      <c r="BC55" s="108" t="s">
        <v>910</v>
      </c>
      <c r="BD55" s="171">
        <v>8</v>
      </c>
      <c r="BE55" s="109">
        <v>0</v>
      </c>
      <c r="BH55" s="459">
        <v>47</v>
      </c>
      <c r="BI55" s="460"/>
      <c r="BJ55" s="461" t="str">
        <f t="shared" si="1"/>
        <v>4</v>
      </c>
      <c r="BK55" s="462" t="str">
        <f t="shared" si="2"/>
        <v>3</v>
      </c>
    </row>
    <row r="56" spans="2:63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173">
        <v>48</v>
      </c>
      <c r="BB56" s="110"/>
      <c r="BC56" s="108"/>
      <c r="BD56" s="171"/>
      <c r="BE56" s="109"/>
      <c r="BH56" s="459">
        <v>48</v>
      </c>
      <c r="BI56" s="460"/>
      <c r="BJ56" s="461" t="str">
        <f t="shared" si="1"/>
        <v>3</v>
      </c>
      <c r="BK56" s="462" t="str">
        <f t="shared" si="2"/>
        <v>b</v>
      </c>
    </row>
    <row r="57" spans="2:63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173">
        <v>49</v>
      </c>
      <c r="BB57" s="110"/>
      <c r="BC57" s="108"/>
      <c r="BD57" s="171"/>
      <c r="BE57" s="109"/>
      <c r="BH57" s="459">
        <v>49</v>
      </c>
      <c r="BI57" s="460"/>
      <c r="BJ57" s="461" t="str">
        <f t="shared" si="1"/>
        <v>b</v>
      </c>
      <c r="BK57" s="462" t="str">
        <f t="shared" si="2"/>
        <v>t</v>
      </c>
    </row>
    <row r="58" spans="2:63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173">
        <v>50</v>
      </c>
      <c r="BB58" s="110"/>
      <c r="BC58" s="108"/>
      <c r="BD58" s="171"/>
      <c r="BE58" s="109"/>
      <c r="BH58" s="459">
        <v>50</v>
      </c>
      <c r="BI58" s="460"/>
      <c r="BJ58" s="461" t="str">
        <f t="shared" si="1"/>
        <v>t</v>
      </c>
      <c r="BK58" s="462" t="str">
        <f t="shared" si="2"/>
        <v>g</v>
      </c>
    </row>
    <row r="59" spans="2:63" ht="34.5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BH59" s="459">
        <v>51</v>
      </c>
      <c r="BI59" s="460"/>
      <c r="BJ59" s="461" t="str">
        <f t="shared" si="1"/>
        <v>g</v>
      </c>
      <c r="BK59" s="462" t="str">
        <f t="shared" si="2"/>
        <v>z</v>
      </c>
    </row>
    <row r="60" spans="2:63" ht="34.5">
      <c r="BH60" s="459">
        <v>52</v>
      </c>
      <c r="BI60" s="460"/>
      <c r="BJ60" s="461" t="str">
        <f t="shared" si="1"/>
        <v>z</v>
      </c>
      <c r="BK60" s="462" t="str">
        <f t="shared" si="2"/>
        <v>6</v>
      </c>
    </row>
    <row r="61" spans="2:63" ht="34.5">
      <c r="BH61" s="459">
        <v>53</v>
      </c>
      <c r="BI61" s="460"/>
      <c r="BJ61" s="461" t="str">
        <f t="shared" si="1"/>
        <v>6</v>
      </c>
      <c r="BK61" s="462" t="str">
        <f t="shared" si="2"/>
        <v>5</v>
      </c>
    </row>
    <row r="62" spans="2:63" ht="34.5">
      <c r="BH62" s="459">
        <v>54</v>
      </c>
      <c r="BI62" s="460"/>
      <c r="BJ62" s="461" t="str">
        <f t="shared" si="1"/>
        <v>5</v>
      </c>
      <c r="BK62" s="462" t="str">
        <f t="shared" si="2"/>
        <v>7</v>
      </c>
    </row>
    <row r="63" spans="2:63" ht="34.5">
      <c r="BH63" s="459">
        <v>55</v>
      </c>
      <c r="BI63" s="460"/>
      <c r="BJ63" s="461" t="str">
        <f t="shared" si="1"/>
        <v>7</v>
      </c>
      <c r="BK63" s="462" t="str">
        <f t="shared" si="2"/>
        <v/>
      </c>
    </row>
  </sheetData>
  <mergeCells count="46">
    <mergeCell ref="G8:I8"/>
    <mergeCell ref="J8:L8"/>
    <mergeCell ref="M8:O8"/>
    <mergeCell ref="P8:R8"/>
    <mergeCell ref="AH8:AJ8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E10:G10"/>
    <mergeCell ref="H10:J10"/>
    <mergeCell ref="N10:P10"/>
    <mergeCell ref="Q10:S10"/>
    <mergeCell ref="AC10:AE10"/>
    <mergeCell ref="AF10:AH10"/>
    <mergeCell ref="AI10:AK10"/>
    <mergeCell ref="AL10:AN10"/>
    <mergeCell ref="AO10:AQ10"/>
    <mergeCell ref="AL11:AM11"/>
    <mergeCell ref="AO11:AP11"/>
    <mergeCell ref="F12:H12"/>
    <mergeCell ref="I12:K12"/>
    <mergeCell ref="L12:N12"/>
    <mergeCell ref="O12:Q12"/>
    <mergeCell ref="R12:T12"/>
    <mergeCell ref="U12:W12"/>
    <mergeCell ref="AI11:AJ11"/>
    <mergeCell ref="AA12:AC12"/>
    <mergeCell ref="AG12:AI12"/>
    <mergeCell ref="AJ12:AL12"/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workbookViewId="0"/>
  </sheetViews>
  <sheetFormatPr defaultRowHeight="30" outlineLevelCol="1"/>
  <cols>
    <col min="1" max="1" width="99.19921875" style="180" customWidth="1"/>
    <col min="2" max="2" width="9.796875" style="180" bestFit="1" customWidth="1"/>
    <col min="3" max="6" width="9.09765625" style="180" customWidth="1"/>
    <col min="7" max="7" width="4.69921875" style="180" customWidth="1"/>
    <col min="8" max="9" width="10.09765625" style="182" customWidth="1"/>
    <col min="10" max="10" width="5.09765625" style="180" customWidth="1"/>
    <col min="11" max="11" width="4.69921875" style="180" customWidth="1"/>
    <col min="12" max="12" width="10.09765625" style="181" customWidth="1"/>
    <col min="13" max="13" width="10.09765625" style="182" customWidth="1"/>
    <col min="14" max="14" width="5.09765625" style="180" hidden="1" customWidth="1" outlineLevel="1"/>
    <col min="15" max="15" width="4.69921875" style="180" hidden="1" customWidth="1" outlineLevel="1"/>
    <col min="16" max="16" width="10.09765625" style="180" hidden="1" customWidth="1" outlineLevel="1"/>
    <col min="17" max="17" width="10.09765625" style="183" hidden="1" customWidth="1" outlineLevel="1"/>
    <col min="18" max="18" width="8.796875" style="180" collapsed="1"/>
    <col min="19" max="19" width="4.69921875" style="180" customWidth="1"/>
    <col min="20" max="24" width="9.796875" style="180" customWidth="1"/>
    <col min="25" max="25" width="9.796875" customWidth="1"/>
    <col min="26" max="26" width="11.796875" style="180" customWidth="1"/>
    <col min="27" max="29" width="10.3984375" style="180" customWidth="1"/>
    <col min="30" max="16384" width="8.796875" style="180"/>
  </cols>
  <sheetData>
    <row r="1" spans="1:27">
      <c r="A1" s="238" t="s">
        <v>621</v>
      </c>
      <c r="G1" s="238" t="s">
        <v>618</v>
      </c>
      <c r="K1" s="238" t="s">
        <v>620</v>
      </c>
      <c r="O1" s="238" t="s">
        <v>619</v>
      </c>
      <c r="S1" s="239" t="s">
        <v>699</v>
      </c>
      <c r="Y1" s="180"/>
    </row>
    <row r="2" spans="1:27" ht="25.5">
      <c r="A2" s="234" t="s">
        <v>777</v>
      </c>
      <c r="H2" s="184" t="s">
        <v>698</v>
      </c>
      <c r="I2" s="185" t="s">
        <v>624</v>
      </c>
      <c r="L2" s="184" t="s">
        <v>624</v>
      </c>
      <c r="M2" s="185" t="s">
        <v>625</v>
      </c>
      <c r="P2" s="184" t="s">
        <v>698</v>
      </c>
      <c r="Q2" s="185" t="s">
        <v>626</v>
      </c>
      <c r="T2" s="188" t="s">
        <v>450</v>
      </c>
      <c r="U2" s="188" t="s">
        <v>700</v>
      </c>
      <c r="V2" s="188" t="s">
        <v>356</v>
      </c>
      <c r="W2" s="188" t="s">
        <v>389</v>
      </c>
      <c r="Y2" s="240" t="s">
        <v>389</v>
      </c>
      <c r="Z2" s="240" t="s">
        <v>387</v>
      </c>
      <c r="AA2" s="241" t="s">
        <v>376</v>
      </c>
    </row>
    <row r="3" spans="1:27">
      <c r="A3" s="180">
        <f xml:space="preserve"> SEARCH("|",$A$2,1)</f>
        <v>5</v>
      </c>
      <c r="G3" s="180" cm="1">
        <f t="array" ref="G3" xml:space="preserve"> ROW() - ROW($2:$2)</f>
        <v>1</v>
      </c>
      <c r="H3" s="191" t="str">
        <f t="shared" ref="H3:H34" si="0" xml:space="preserve"> IFERROR( MID($A$6, $G3, 1), "")</f>
        <v>b</v>
      </c>
      <c r="I3" s="192" t="str">
        <f t="shared" ref="I3:I34" si="1" xml:space="preserve"> IFERROR( MID($A$7, $G3, 1), "")</f>
        <v>1</v>
      </c>
      <c r="K3" s="180">
        <v>1</v>
      </c>
      <c r="L3" s="195" t="str">
        <f t="shared" ref="L3:L34" si="2" xml:space="preserve"> IFERROR( MID($A$15, $G3, 1), "")</f>
        <v>1</v>
      </c>
      <c r="M3" s="195" t="str">
        <f t="shared" ref="M3:M34" si="3" xml:space="preserve"> IFERROR( MID($A$16, $G3, 1), "")</f>
        <v>ㄅ</v>
      </c>
      <c r="O3" s="180">
        <v>1</v>
      </c>
      <c r="P3" s="194" t="str">
        <f t="shared" ref="P3:P44" si="4" xml:space="preserve"> IFERROR( MID($A$21, $G3, 1), "")</f>
        <v/>
      </c>
      <c r="Q3" s="194" t="str">
        <f t="shared" ref="Q3:Q44" si="5" xml:space="preserve"> IFERROR( MID($A$22, $G3, 1), "")</f>
        <v/>
      </c>
      <c r="S3" s="180">
        <v>1</v>
      </c>
      <c r="T3" s="183" t="str">
        <f t="shared" ref="T3:T34" si="6">I3</f>
        <v>1</v>
      </c>
      <c r="U3" s="197" t="str">
        <f t="shared" ref="U3:U34" si="7">H3</f>
        <v>b</v>
      </c>
      <c r="V3" s="197" t="str">
        <f xml:space="preserve"> IFERROR( INDEX($Z$3:$Z$44, MATCH(表格1_33710[[#This Row],[方音符號]], $Y$3:$Y$44, 0)), "")</f>
        <v>b</v>
      </c>
      <c r="W3" s="183" t="str">
        <f xml:space="preserve"> INDEX($M$3:$M$57, MATCH(表格1_33710[[#This Row],[鍵盤位置]], $L$3:$L$57,0))</f>
        <v>ㄅ</v>
      </c>
      <c r="Y3" s="242" t="str">
        <f xml:space="preserve"> INDEX($M$3:$M$44, MATCH(表格1_33710[[#This Row],[鍵盤位置]], $L$3:$L$44,0))</f>
        <v>ㄅ</v>
      </c>
      <c r="Z3" s="243" t="s">
        <v>162</v>
      </c>
      <c r="AA3" s="244" t="s">
        <v>407</v>
      </c>
    </row>
    <row r="4" spans="1:27">
      <c r="A4" s="180">
        <f xml:space="preserve"> SEARCH("|",$A$2,A3+1)</f>
        <v>48</v>
      </c>
      <c r="G4" s="180" cm="1">
        <f t="array" ref="G4" xml:space="preserve"> ROW() - ROW($2:$2)</f>
        <v>2</v>
      </c>
      <c r="H4" s="200" t="str">
        <f t="shared" si="0"/>
        <v>p</v>
      </c>
      <c r="I4" s="201" t="str">
        <f t="shared" si="1"/>
        <v>q</v>
      </c>
      <c r="K4" s="180">
        <v>2</v>
      </c>
      <c r="L4" s="195" t="str">
        <f t="shared" si="2"/>
        <v>q</v>
      </c>
      <c r="M4" s="195" t="str">
        <f t="shared" si="3"/>
        <v>ㄆ</v>
      </c>
      <c r="O4" s="180">
        <v>2</v>
      </c>
      <c r="P4" s="194" t="str">
        <f t="shared" si="4"/>
        <v/>
      </c>
      <c r="Q4" s="194" t="str">
        <f t="shared" si="5"/>
        <v/>
      </c>
      <c r="S4" s="180">
        <v>2</v>
      </c>
      <c r="T4" s="183" t="str">
        <f t="shared" si="6"/>
        <v>q</v>
      </c>
      <c r="U4" s="197" t="str">
        <f t="shared" si="7"/>
        <v>p</v>
      </c>
      <c r="V4" s="197" t="str">
        <f xml:space="preserve"> IFERROR( INDEX($Z$3:$Z$44, MATCH(表格1_33710[[#This Row],[方音符號]], $Y$3:$Y$44, 0)), "")</f>
        <v>p</v>
      </c>
      <c r="W4" s="183" t="str">
        <f xml:space="preserve"> INDEX($M$3:$M$57, MATCH(表格1_33710[[#This Row],[鍵盤位置]], $L$3:$L$57,0))</f>
        <v>ㄆ</v>
      </c>
      <c r="Y4" s="242" t="str">
        <f xml:space="preserve"> INDEX($M$3:$M$44, MATCH(表格1_33710[[#This Row],[鍵盤位置]], $L$3:$L$44,0))</f>
        <v>ㄆ</v>
      </c>
      <c r="Z4" s="243" t="s">
        <v>196</v>
      </c>
      <c r="AA4" s="244" t="s">
        <v>406</v>
      </c>
    </row>
    <row r="5" spans="1:27">
      <c r="A5" s="180">
        <f xml:space="preserve"> SEARCH("|",$A$2,A4+1)</f>
        <v>91</v>
      </c>
      <c r="G5" s="180" cm="1">
        <f t="array" ref="G5" xml:space="preserve"> ROW() - ROW($2:$2)</f>
        <v>3</v>
      </c>
      <c r="H5" s="200" t="str">
        <f t="shared" si="0"/>
        <v>m</v>
      </c>
      <c r="I5" s="201" t="str">
        <f t="shared" si="1"/>
        <v>a</v>
      </c>
      <c r="K5" s="180">
        <v>3</v>
      </c>
      <c r="L5" s="195" t="str">
        <f t="shared" si="2"/>
        <v>a</v>
      </c>
      <c r="M5" s="195" t="str">
        <f t="shared" si="3"/>
        <v>ㄇ</v>
      </c>
      <c r="O5" s="180">
        <v>3</v>
      </c>
      <c r="P5" s="194" t="str">
        <f t="shared" si="4"/>
        <v/>
      </c>
      <c r="Q5" s="194" t="str">
        <f t="shared" si="5"/>
        <v/>
      </c>
      <c r="S5" s="180">
        <v>3</v>
      </c>
      <c r="T5" s="183" t="str">
        <f t="shared" si="6"/>
        <v>a</v>
      </c>
      <c r="U5" s="197" t="str">
        <f t="shared" si="7"/>
        <v>m</v>
      </c>
      <c r="V5" s="197" t="str">
        <f xml:space="preserve"> IFERROR( INDEX($Z$3:$Z$44, MATCH(表格1_33710[[#This Row],[方音符號]], $Y$3:$Y$44, 0)), "")</f>
        <v>m</v>
      </c>
      <c r="W5" s="183" t="str">
        <f xml:space="preserve"> INDEX($M$3:$M$57, MATCH(表格1_33710[[#This Row],[鍵盤位置]], $L$3:$L$57,0))</f>
        <v>ㄇ</v>
      </c>
      <c r="Y5" s="242" t="str">
        <f xml:space="preserve"> INDEX($M$3:$M$44, MATCH(表格1_33710[[#This Row],[鍵盤位置]], $L$3:$L$44,0))</f>
        <v>ㄇ</v>
      </c>
      <c r="Z5" s="243" t="s">
        <v>124</v>
      </c>
      <c r="AA5" s="244" t="s">
        <v>404</v>
      </c>
    </row>
    <row r="6" spans="1:27">
      <c r="A6" s="235" t="str">
        <f xml:space="preserve"> MID($A$2,A3+1, A4-A3-1)</f>
        <v>bpmfdtnlgkhjqxZCSrzcsiuvaoeEAIOUMNKGR12345</v>
      </c>
      <c r="B6" s="236">
        <f xml:space="preserve"> LEN(A6)</f>
        <v>42</v>
      </c>
      <c r="G6" s="180" cm="1">
        <f t="array" ref="G6" xml:space="preserve"> ROW() - ROW($2:$2)</f>
        <v>4</v>
      </c>
      <c r="H6" s="205" t="str">
        <f t="shared" si="0"/>
        <v>f</v>
      </c>
      <c r="I6" s="206" t="str">
        <f t="shared" si="1"/>
        <v>z</v>
      </c>
      <c r="K6" s="180">
        <v>4</v>
      </c>
      <c r="L6" s="195" t="str">
        <f t="shared" si="2"/>
        <v>z</v>
      </c>
      <c r="M6" s="195" t="str">
        <f t="shared" si="3"/>
        <v>ㄈ</v>
      </c>
      <c r="O6" s="180">
        <v>4</v>
      </c>
      <c r="P6" s="194" t="str">
        <f t="shared" si="4"/>
        <v/>
      </c>
      <c r="Q6" s="194" t="str">
        <f t="shared" si="5"/>
        <v/>
      </c>
      <c r="S6" s="180">
        <v>4</v>
      </c>
      <c r="T6" s="183" t="str">
        <f t="shared" si="6"/>
        <v>z</v>
      </c>
      <c r="U6" s="197" t="str">
        <f t="shared" si="7"/>
        <v>f</v>
      </c>
      <c r="V6" s="197" t="str">
        <f xml:space="preserve"> IFERROR( INDEX($Z$3:$Z$44, MATCH(表格1_33710[[#This Row],[方音符號]], $Y$3:$Y$44, 0)), "")</f>
        <v>f</v>
      </c>
      <c r="W6" s="183" t="str">
        <f xml:space="preserve"> INDEX($M$3:$M$57, MATCH(表格1_33710[[#This Row],[鍵盤位置]], $L$3:$L$57,0))</f>
        <v>ㄈ</v>
      </c>
      <c r="Y6" s="242" t="str">
        <f xml:space="preserve"> INDEX($M$3:$M$44, MATCH(表格1_33710[[#This Row],[鍵盤位置]], $L$3:$L$44,0))</f>
        <v>ㄈ</v>
      </c>
      <c r="Z6" s="243" t="s">
        <v>767</v>
      </c>
      <c r="AA6" s="244" t="s">
        <v>840</v>
      </c>
    </row>
    <row r="7" spans="1:27">
      <c r="A7" s="235" t="str">
        <f xml:space="preserve"> MID($A$2,A4+1, A5-A4-1)</f>
        <v>1qaz2wsxedcrfv5tgbyhnujm8ik,9ol.0p;/- 6347</v>
      </c>
      <c r="B7" s="236">
        <f xml:space="preserve"> LEN(A7)</f>
        <v>42</v>
      </c>
      <c r="G7" s="180" cm="1">
        <f t="array" ref="G7" xml:space="preserve"> ROW() - ROW($2:$2)</f>
        <v>5</v>
      </c>
      <c r="H7" s="200" t="str">
        <f t="shared" si="0"/>
        <v>d</v>
      </c>
      <c r="I7" s="201" t="str">
        <f t="shared" si="1"/>
        <v>2</v>
      </c>
      <c r="K7" s="180">
        <v>5</v>
      </c>
      <c r="L7" s="195" t="str">
        <f t="shared" si="2"/>
        <v>2</v>
      </c>
      <c r="M7" s="195" t="str">
        <f t="shared" si="3"/>
        <v>ㄉ</v>
      </c>
      <c r="O7" s="180">
        <v>5</v>
      </c>
      <c r="P7" s="194" t="str">
        <f t="shared" si="4"/>
        <v/>
      </c>
      <c r="Q7" s="194" t="str">
        <f t="shared" si="5"/>
        <v/>
      </c>
      <c r="S7" s="180">
        <v>5</v>
      </c>
      <c r="T7" s="183" t="str">
        <f t="shared" si="6"/>
        <v>2</v>
      </c>
      <c r="U7" s="197" t="str">
        <f t="shared" si="7"/>
        <v>d</v>
      </c>
      <c r="V7" s="197" t="str">
        <f xml:space="preserve"> IFERROR( INDEX($Z$3:$Z$44, MATCH(表格1_33710[[#This Row],[方音符號]], $Y$3:$Y$44, 0)), "")</f>
        <v>d</v>
      </c>
      <c r="W7" s="183" t="str">
        <f xml:space="preserve"> INDEX($M$3:$M$57, MATCH(表格1_33710[[#This Row],[鍵盤位置]], $L$3:$L$57,0))</f>
        <v>ㄉ</v>
      </c>
      <c r="Y7" s="242" t="str">
        <f xml:space="preserve"> INDEX($M$3:$M$44, MATCH(表格1_33710[[#This Row],[鍵盤位置]], $L$3:$L$44,0))</f>
        <v>ㄉ</v>
      </c>
      <c r="Z7" s="243" t="s">
        <v>298</v>
      </c>
      <c r="AA7" s="244" t="s">
        <v>403</v>
      </c>
    </row>
    <row r="8" spans="1:27">
      <c r="G8" s="180" cm="1">
        <f t="array" ref="G8" xml:space="preserve"> ROW() - ROW($2:$2)</f>
        <v>6</v>
      </c>
      <c r="H8" s="200" t="str">
        <f t="shared" si="0"/>
        <v>t</v>
      </c>
      <c r="I8" s="201" t="str">
        <f t="shared" si="1"/>
        <v>w</v>
      </c>
      <c r="K8" s="180">
        <v>6</v>
      </c>
      <c r="L8" s="195" t="str">
        <f t="shared" si="2"/>
        <v>w</v>
      </c>
      <c r="M8" s="195" t="str">
        <f t="shared" si="3"/>
        <v>ㄊ</v>
      </c>
      <c r="O8" s="180">
        <v>6</v>
      </c>
      <c r="P8" s="194" t="str">
        <f t="shared" si="4"/>
        <v/>
      </c>
      <c r="Q8" s="194" t="str">
        <f t="shared" si="5"/>
        <v/>
      </c>
      <c r="S8" s="180">
        <v>6</v>
      </c>
      <c r="T8" s="183" t="str">
        <f t="shared" si="6"/>
        <v>w</v>
      </c>
      <c r="U8" s="197" t="str">
        <f t="shared" si="7"/>
        <v>t</v>
      </c>
      <c r="V8" s="197" t="str">
        <f xml:space="preserve"> IFERROR( INDEX($Z$3:$Z$44, MATCH(表格1_33710[[#This Row],[方音符號]], $Y$3:$Y$44, 0)), "")</f>
        <v>t</v>
      </c>
      <c r="W8" s="183" t="str">
        <f xml:space="preserve"> INDEX($M$3:$M$57, MATCH(表格1_33710[[#This Row],[鍵盤位置]], $L$3:$L$57,0))</f>
        <v>ㄊ</v>
      </c>
      <c r="Y8" s="242" t="str">
        <f xml:space="preserve"> INDEX($M$3:$M$44, MATCH(表格1_33710[[#This Row],[鍵盤位置]], $L$3:$L$44,0))</f>
        <v>ㄊ</v>
      </c>
      <c r="Z8" s="243" t="s">
        <v>197</v>
      </c>
      <c r="AA8" s="244" t="s">
        <v>402</v>
      </c>
    </row>
    <row r="9" spans="1:27">
      <c r="G9" s="180" cm="1">
        <f t="array" ref="G9" xml:space="preserve"> ROW() - ROW($2:$2)</f>
        <v>7</v>
      </c>
      <c r="H9" s="200" t="str">
        <f t="shared" si="0"/>
        <v>n</v>
      </c>
      <c r="I9" s="201" t="str">
        <f t="shared" si="1"/>
        <v>s</v>
      </c>
      <c r="K9" s="180">
        <v>7</v>
      </c>
      <c r="L9" s="195" t="str">
        <f t="shared" si="2"/>
        <v>s</v>
      </c>
      <c r="M9" s="195" t="str">
        <f t="shared" si="3"/>
        <v>ㄋ</v>
      </c>
      <c r="O9" s="180">
        <v>7</v>
      </c>
      <c r="P9" s="194" t="str">
        <f t="shared" si="4"/>
        <v/>
      </c>
      <c r="Q9" s="194" t="str">
        <f t="shared" si="5"/>
        <v/>
      </c>
      <c r="S9" s="180">
        <v>7</v>
      </c>
      <c r="T9" s="183" t="str">
        <f t="shared" si="6"/>
        <v>s</v>
      </c>
      <c r="U9" s="197" t="str">
        <f t="shared" si="7"/>
        <v>n</v>
      </c>
      <c r="V9" s="197" t="str">
        <f xml:space="preserve"> IFERROR( INDEX($Z$3:$Z$44, MATCH(表格1_33710[[#This Row],[方音符號]], $Y$3:$Y$44, 0)), "")</f>
        <v>n</v>
      </c>
      <c r="W9" s="183" t="str">
        <f xml:space="preserve"> INDEX($M$3:$M$57, MATCH(表格1_33710[[#This Row],[鍵盤位置]], $L$3:$L$57,0))</f>
        <v>ㄋ</v>
      </c>
      <c r="Y9" s="242" t="str">
        <f xml:space="preserve"> INDEX($M$3:$M$44, MATCH(表格1_33710[[#This Row],[鍵盤位置]], $L$3:$L$44,0))</f>
        <v>ㄋ</v>
      </c>
      <c r="Z9" s="243" t="s">
        <v>199</v>
      </c>
      <c r="AA9" s="244" t="s">
        <v>401</v>
      </c>
    </row>
    <row r="10" spans="1:27">
      <c r="A10" s="238" t="s">
        <v>620</v>
      </c>
      <c r="G10" s="180" cm="1">
        <f t="array" ref="G10" xml:space="preserve"> ROW() - ROW($2:$2)</f>
        <v>8</v>
      </c>
      <c r="H10" s="210" t="str">
        <f t="shared" si="0"/>
        <v>l</v>
      </c>
      <c r="I10" s="211" t="str">
        <f t="shared" si="1"/>
        <v>x</v>
      </c>
      <c r="K10" s="180">
        <v>8</v>
      </c>
      <c r="L10" s="195" t="str">
        <f t="shared" si="2"/>
        <v>x</v>
      </c>
      <c r="M10" s="195" t="str">
        <f t="shared" si="3"/>
        <v>ㄌ</v>
      </c>
      <c r="O10" s="180">
        <v>8</v>
      </c>
      <c r="P10" s="194" t="str">
        <f t="shared" si="4"/>
        <v/>
      </c>
      <c r="Q10" s="194" t="str">
        <f t="shared" si="5"/>
        <v/>
      </c>
      <c r="S10" s="180">
        <v>8</v>
      </c>
      <c r="T10" s="183" t="str">
        <f t="shared" si="6"/>
        <v>x</v>
      </c>
      <c r="U10" s="197" t="str">
        <f t="shared" si="7"/>
        <v>l</v>
      </c>
      <c r="V10" s="197" t="str">
        <f xml:space="preserve"> IFERROR( INDEX($Z$3:$Z$44, MATCH(表格1_33710[[#This Row],[方音符號]], $Y$3:$Y$44, 0)), "")</f>
        <v>l</v>
      </c>
      <c r="W10" s="183" t="str">
        <f xml:space="preserve"> INDEX($M$3:$M$57, MATCH(表格1_33710[[#This Row],[鍵盤位置]], $L$3:$L$57,0))</f>
        <v>ㄌ</v>
      </c>
      <c r="Y10" s="242" t="str">
        <f xml:space="preserve"> INDEX($M$3:$M$44, MATCH(表格1_33710[[#This Row],[鍵盤位置]], $L$3:$L$44,0))</f>
        <v>ㄌ</v>
      </c>
      <c r="Z10" s="243" t="s">
        <v>200</v>
      </c>
      <c r="AA10" s="244" t="s">
        <v>400</v>
      </c>
    </row>
    <row r="11" spans="1:27">
      <c r="A11" s="237" t="s">
        <v>803</v>
      </c>
      <c r="G11" s="180" cm="1">
        <f t="array" ref="G11" xml:space="preserve"> ROW() - ROW($2:$2)</f>
        <v>9</v>
      </c>
      <c r="H11" s="191" t="str">
        <f t="shared" si="0"/>
        <v>g</v>
      </c>
      <c r="I11" s="192" t="str">
        <f t="shared" si="1"/>
        <v>e</v>
      </c>
      <c r="K11" s="180">
        <v>9</v>
      </c>
      <c r="L11" s="195" t="str">
        <f t="shared" si="2"/>
        <v>e</v>
      </c>
      <c r="M11" s="195" t="str">
        <f t="shared" si="3"/>
        <v>ㄍ</v>
      </c>
      <c r="O11" s="180">
        <v>9</v>
      </c>
      <c r="P11" s="194" t="str">
        <f t="shared" si="4"/>
        <v/>
      </c>
      <c r="Q11" s="194" t="str">
        <f t="shared" si="5"/>
        <v/>
      </c>
      <c r="S11" s="180">
        <v>9</v>
      </c>
      <c r="T11" s="183" t="str">
        <f t="shared" si="6"/>
        <v>e</v>
      </c>
      <c r="U11" s="197" t="str">
        <f t="shared" si="7"/>
        <v>g</v>
      </c>
      <c r="V11" s="197" t="str">
        <f xml:space="preserve"> IFERROR( INDEX($Z$3:$Z$44, MATCH(表格1_33710[[#This Row],[方音符號]], $Y$3:$Y$44, 0)), "")</f>
        <v>g</v>
      </c>
      <c r="W11" s="183" t="str">
        <f xml:space="preserve"> INDEX($M$3:$M$57, MATCH(表格1_33710[[#This Row],[鍵盤位置]], $L$3:$L$57,0))</f>
        <v>ㄍ</v>
      </c>
      <c r="Y11" s="242" t="str">
        <f xml:space="preserve"> INDEX($M$3:$M$44, MATCH(表格1_33710[[#This Row],[鍵盤位置]], $L$3:$L$44,0))</f>
        <v>ㄍ</v>
      </c>
      <c r="Z11" s="243" t="s">
        <v>126</v>
      </c>
      <c r="AA11" s="244" t="s">
        <v>399</v>
      </c>
    </row>
    <row r="12" spans="1:27">
      <c r="A12" s="180">
        <f xml:space="preserve"> SEARCH("|",$A$11,1)</f>
        <v>8</v>
      </c>
      <c r="G12" s="180" cm="1">
        <f t="array" ref="G12" xml:space="preserve"> ROW() - ROW($2:$2)</f>
        <v>10</v>
      </c>
      <c r="H12" s="200" t="str">
        <f t="shared" si="0"/>
        <v>k</v>
      </c>
      <c r="I12" s="201" t="str">
        <f t="shared" si="1"/>
        <v>d</v>
      </c>
      <c r="K12" s="180">
        <v>10</v>
      </c>
      <c r="L12" s="195" t="str">
        <f t="shared" si="2"/>
        <v>d</v>
      </c>
      <c r="M12" s="195" t="str">
        <f t="shared" si="3"/>
        <v>ㄎ</v>
      </c>
      <c r="O12" s="180">
        <v>10</v>
      </c>
      <c r="P12" s="194" t="str">
        <f t="shared" si="4"/>
        <v/>
      </c>
      <c r="Q12" s="194" t="str">
        <f t="shared" si="5"/>
        <v/>
      </c>
      <c r="S12" s="180">
        <v>10</v>
      </c>
      <c r="T12" s="183" t="str">
        <f t="shared" si="6"/>
        <v>d</v>
      </c>
      <c r="U12" s="197" t="str">
        <f t="shared" si="7"/>
        <v>k</v>
      </c>
      <c r="V12" s="197" t="str">
        <f xml:space="preserve"> IFERROR( INDEX($Z$3:$Z$44, MATCH(表格1_33710[[#This Row],[方音符號]], $Y$3:$Y$44, 0)), "")</f>
        <v>k</v>
      </c>
      <c r="W12" s="183" t="str">
        <f xml:space="preserve"> INDEX($M$3:$M$57, MATCH(表格1_33710[[#This Row],[鍵盤位置]], $L$3:$L$57,0))</f>
        <v>ㄎ</v>
      </c>
      <c r="Y12" s="242" t="str">
        <f xml:space="preserve"> INDEX($M$3:$M$44, MATCH(表格1_33710[[#This Row],[鍵盤位置]], $L$3:$L$44,0))</f>
        <v>ㄎ</v>
      </c>
      <c r="Z12" s="243" t="s">
        <v>201</v>
      </c>
      <c r="AA12" s="244" t="s">
        <v>398</v>
      </c>
    </row>
    <row r="13" spans="1:27">
      <c r="A13" s="180">
        <f xml:space="preserve"> SEARCH("|",$A$11,A12+1)</f>
        <v>52</v>
      </c>
      <c r="G13" s="180" cm="1">
        <f t="array" ref="G13" xml:space="preserve"> ROW() - ROW($2:$2)</f>
        <v>11</v>
      </c>
      <c r="H13" s="210" t="str">
        <f t="shared" si="0"/>
        <v>h</v>
      </c>
      <c r="I13" s="211" t="str">
        <f t="shared" si="1"/>
        <v>c</v>
      </c>
      <c r="K13" s="180">
        <v>11</v>
      </c>
      <c r="L13" s="195" t="str">
        <f t="shared" si="2"/>
        <v>c</v>
      </c>
      <c r="M13" s="195" t="str">
        <f t="shared" si="3"/>
        <v>ㄏ</v>
      </c>
      <c r="O13" s="180">
        <v>11</v>
      </c>
      <c r="P13" s="194" t="str">
        <f t="shared" si="4"/>
        <v/>
      </c>
      <c r="Q13" s="194" t="str">
        <f t="shared" si="5"/>
        <v/>
      </c>
      <c r="S13" s="180">
        <v>11</v>
      </c>
      <c r="T13" s="183" t="str">
        <f t="shared" si="6"/>
        <v>c</v>
      </c>
      <c r="U13" s="197" t="str">
        <f t="shared" si="7"/>
        <v>h</v>
      </c>
      <c r="V13" s="197" t="str">
        <f xml:space="preserve"> IFERROR( INDEX($Z$3:$Z$44, MATCH(表格1_33710[[#This Row],[方音符號]], $Y$3:$Y$44, 0)), "")</f>
        <v>h</v>
      </c>
      <c r="W13" s="183" t="str">
        <f xml:space="preserve"> INDEX($M$3:$M$57, MATCH(表格1_33710[[#This Row],[鍵盤位置]], $L$3:$L$57,0))</f>
        <v>ㄏ</v>
      </c>
      <c r="Y13" s="242" t="str">
        <f xml:space="preserve"> INDEX($M$3:$M$44, MATCH(表格1_33710[[#This Row],[鍵盤位置]], $L$3:$L$44,0))</f>
        <v>ㄏ</v>
      </c>
      <c r="Z13" s="243" t="s">
        <v>129</v>
      </c>
      <c r="AA13" s="244" t="s">
        <v>395</v>
      </c>
    </row>
    <row r="14" spans="1:27">
      <c r="A14" s="180">
        <f xml:space="preserve"> SEARCH("|",$A$11,A13+1)</f>
        <v>96</v>
      </c>
      <c r="G14" s="180" cm="1">
        <f t="array" ref="G14" xml:space="preserve"> ROW() - ROW($2:$2)</f>
        <v>12</v>
      </c>
      <c r="H14" s="191" t="str">
        <f t="shared" si="0"/>
        <v>j</v>
      </c>
      <c r="I14" s="192" t="str">
        <f t="shared" si="1"/>
        <v>r</v>
      </c>
      <c r="K14" s="180">
        <v>12</v>
      </c>
      <c r="L14" s="195" t="str">
        <f t="shared" si="2"/>
        <v>r</v>
      </c>
      <c r="M14" s="195" t="str">
        <f t="shared" si="3"/>
        <v>ㄐ</v>
      </c>
      <c r="O14" s="180">
        <v>12</v>
      </c>
      <c r="P14" s="194" t="str">
        <f t="shared" si="4"/>
        <v/>
      </c>
      <c r="Q14" s="194" t="str">
        <f t="shared" si="5"/>
        <v/>
      </c>
      <c r="S14" s="180">
        <v>12</v>
      </c>
      <c r="T14" s="183" t="str">
        <f t="shared" si="6"/>
        <v>r</v>
      </c>
      <c r="U14" s="197" t="str">
        <f t="shared" si="7"/>
        <v>j</v>
      </c>
      <c r="V14" s="197" t="str">
        <f xml:space="preserve"> IFERROR( INDEX($Z$3:$Z$44, MATCH(表格1_33710[[#This Row],[方音符號]], $Y$3:$Y$44, 0)), "")</f>
        <v>j</v>
      </c>
      <c r="W14" s="183" t="str">
        <f xml:space="preserve"> INDEX($M$3:$M$57, MATCH(表格1_33710[[#This Row],[鍵盤位置]], $L$3:$L$57,0))</f>
        <v>ㄐ</v>
      </c>
      <c r="Y14" s="242" t="str">
        <f xml:space="preserve"> INDEX($M$3:$M$44, MATCH(表格1_33710[[#This Row],[鍵盤位置]], $L$3:$L$44,0))</f>
        <v>ㄐ</v>
      </c>
      <c r="Z14" s="243" t="s">
        <v>666</v>
      </c>
      <c r="AA14" s="244" t="s">
        <v>847</v>
      </c>
    </row>
    <row r="15" spans="1:27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G15" s="180" cm="1">
        <f t="array" ref="G15" xml:space="preserve"> ROW() - ROW($2:$2)</f>
        <v>13</v>
      </c>
      <c r="H15" s="200" t="str">
        <f t="shared" si="0"/>
        <v>q</v>
      </c>
      <c r="I15" s="201" t="str">
        <f t="shared" si="1"/>
        <v>f</v>
      </c>
      <c r="K15" s="180">
        <v>13</v>
      </c>
      <c r="L15" s="195" t="str">
        <f t="shared" si="2"/>
        <v>f</v>
      </c>
      <c r="M15" s="195" t="str">
        <f t="shared" si="3"/>
        <v>ㄑ</v>
      </c>
      <c r="O15" s="180">
        <v>13</v>
      </c>
      <c r="P15" s="194" t="str">
        <f t="shared" si="4"/>
        <v/>
      </c>
      <c r="Q15" s="194" t="str">
        <f t="shared" si="5"/>
        <v/>
      </c>
      <c r="S15" s="180">
        <v>13</v>
      </c>
      <c r="T15" s="183" t="str">
        <f t="shared" si="6"/>
        <v>f</v>
      </c>
      <c r="U15" s="197" t="str">
        <f t="shared" si="7"/>
        <v>q</v>
      </c>
      <c r="V15" s="197" t="str">
        <f xml:space="preserve"> IFERROR( INDEX($Z$3:$Z$44, MATCH(表格1_33710[[#This Row],[方音符號]], $Y$3:$Y$44, 0)), "")</f>
        <v>q</v>
      </c>
      <c r="W15" s="183" t="str">
        <f xml:space="preserve"> INDEX($M$3:$M$57, MATCH(表格1_33710[[#This Row],[鍵盤位置]], $L$3:$L$57,0))</f>
        <v>ㄑ</v>
      </c>
      <c r="Y15" s="242" t="str">
        <f xml:space="preserve"> INDEX($M$3:$M$44, MATCH(表格1_33710[[#This Row],[鍵盤位置]], $L$3:$L$44,0))</f>
        <v>ㄑ</v>
      </c>
      <c r="Z15" s="243" t="s">
        <v>629</v>
      </c>
      <c r="AA15" s="244" t="s">
        <v>848</v>
      </c>
    </row>
    <row r="16" spans="1:27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G16" s="180" cm="1">
        <f t="array" ref="G16" xml:space="preserve"> ROW() - ROW($2:$2)</f>
        <v>14</v>
      </c>
      <c r="H16" s="205" t="str">
        <f t="shared" si="0"/>
        <v>x</v>
      </c>
      <c r="I16" s="206" t="str">
        <f t="shared" si="1"/>
        <v>v</v>
      </c>
      <c r="K16" s="180">
        <v>14</v>
      </c>
      <c r="L16" s="195" t="str">
        <f t="shared" si="2"/>
        <v>v</v>
      </c>
      <c r="M16" s="195" t="str">
        <f t="shared" si="3"/>
        <v>ㄒ</v>
      </c>
      <c r="O16" s="180">
        <v>14</v>
      </c>
      <c r="P16" s="194" t="str">
        <f t="shared" si="4"/>
        <v/>
      </c>
      <c r="Q16" s="194" t="str">
        <f t="shared" si="5"/>
        <v/>
      </c>
      <c r="S16" s="180">
        <v>14</v>
      </c>
      <c r="T16" s="183" t="str">
        <f t="shared" si="6"/>
        <v>v</v>
      </c>
      <c r="U16" s="197" t="str">
        <f t="shared" si="7"/>
        <v>x</v>
      </c>
      <c r="V16" s="197" t="str">
        <f xml:space="preserve"> IFERROR( INDEX($Z$3:$Z$44, MATCH(表格1_33710[[#This Row],[方音符號]], $Y$3:$Y$44, 0)), "")</f>
        <v>x</v>
      </c>
      <c r="W16" s="183" t="str">
        <f xml:space="preserve"> INDEX($M$3:$M$57, MATCH(表格1_33710[[#This Row],[鍵盤位置]], $L$3:$L$57,0))</f>
        <v>ㄒ</v>
      </c>
      <c r="Y16" s="242" t="str">
        <f xml:space="preserve"> INDEX($M$3:$M$44, MATCH(表格1_33710[[#This Row],[鍵盤位置]], $L$3:$L$44,0))</f>
        <v>ㄒ</v>
      </c>
      <c r="Z16" s="243" t="s">
        <v>347</v>
      </c>
      <c r="AA16" s="244" t="s">
        <v>849</v>
      </c>
    </row>
    <row r="17" spans="1:27">
      <c r="G17" s="180" cm="1">
        <f t="array" ref="G17" xml:space="preserve"> ROW() - ROW($2:$2)</f>
        <v>15</v>
      </c>
      <c r="H17" s="191" t="str">
        <f t="shared" si="0"/>
        <v>Z</v>
      </c>
      <c r="I17" s="192" t="str">
        <f t="shared" si="1"/>
        <v>5</v>
      </c>
      <c r="K17" s="180">
        <v>15</v>
      </c>
      <c r="L17" s="195" t="str">
        <f t="shared" si="2"/>
        <v>5</v>
      </c>
      <c r="M17" s="195" t="str">
        <f t="shared" si="3"/>
        <v>ㄓ</v>
      </c>
      <c r="O17" s="180">
        <v>15</v>
      </c>
      <c r="P17" s="194" t="str">
        <f t="shared" si="4"/>
        <v/>
      </c>
      <c r="Q17" s="194" t="str">
        <f t="shared" si="5"/>
        <v/>
      </c>
      <c r="S17" s="180">
        <v>15</v>
      </c>
      <c r="T17" s="183" t="str">
        <f t="shared" si="6"/>
        <v>5</v>
      </c>
      <c r="U17" s="197" t="str">
        <f t="shared" si="7"/>
        <v>Z</v>
      </c>
      <c r="V17" s="197" t="str">
        <f xml:space="preserve"> IFERROR( INDEX($Z$3:$Z$44, MATCH(表格1_33710[[#This Row],[方音符號]], $Y$3:$Y$44, 0)), "")</f>
        <v>zh</v>
      </c>
      <c r="W17" s="183" t="str">
        <f xml:space="preserve"> INDEX($M$3:$M$57, MATCH(表格1_33710[[#This Row],[鍵盤位置]], $L$3:$L$57,0))</f>
        <v>ㄓ</v>
      </c>
      <c r="Y17" s="242" t="str">
        <f xml:space="preserve"> INDEX($M$3:$M$44, MATCH(表格1_33710[[#This Row],[鍵盤位置]], $L$3:$L$44,0))</f>
        <v>ㄓ</v>
      </c>
      <c r="Z17" s="243" t="s">
        <v>811</v>
      </c>
      <c r="AA17" s="244" t="s">
        <v>841</v>
      </c>
    </row>
    <row r="18" spans="1:27">
      <c r="G18" s="180" cm="1">
        <f t="array" ref="G18" xml:space="preserve"> ROW() - ROW($2:$2)</f>
        <v>16</v>
      </c>
      <c r="H18" s="200" t="str">
        <f t="shared" si="0"/>
        <v>C</v>
      </c>
      <c r="I18" s="201" t="str">
        <f t="shared" si="1"/>
        <v>t</v>
      </c>
      <c r="K18" s="180">
        <v>16</v>
      </c>
      <c r="L18" s="195" t="str">
        <f t="shared" si="2"/>
        <v>t</v>
      </c>
      <c r="M18" s="195" t="str">
        <f t="shared" si="3"/>
        <v>ㄔ</v>
      </c>
      <c r="O18" s="180">
        <v>16</v>
      </c>
      <c r="P18" s="194" t="str">
        <f t="shared" si="4"/>
        <v/>
      </c>
      <c r="Q18" s="194" t="str">
        <f t="shared" si="5"/>
        <v/>
      </c>
      <c r="S18" s="180">
        <v>16</v>
      </c>
      <c r="T18" s="183" t="str">
        <f t="shared" si="6"/>
        <v>t</v>
      </c>
      <c r="U18" s="197" t="str">
        <f t="shared" si="7"/>
        <v>C</v>
      </c>
      <c r="V18" s="197" t="str">
        <f xml:space="preserve"> IFERROR( INDEX($Z$3:$Z$44, MATCH(表格1_33710[[#This Row],[方音符號]], $Y$3:$Y$44, 0)), "")</f>
        <v>ch</v>
      </c>
      <c r="W18" s="183" t="str">
        <f xml:space="preserve"> INDEX($M$3:$M$57, MATCH(表格1_33710[[#This Row],[鍵盤位置]], $L$3:$L$57,0))</f>
        <v>ㄔ</v>
      </c>
      <c r="Y18" s="242" t="str">
        <f xml:space="preserve"> INDEX($M$3:$M$44, MATCH(表格1_33710[[#This Row],[鍵盤位置]], $L$3:$L$44,0))</f>
        <v>ㄔ</v>
      </c>
      <c r="Z18" s="243" t="s">
        <v>324</v>
      </c>
      <c r="AA18" s="244" t="s">
        <v>842</v>
      </c>
    </row>
    <row r="19" spans="1:27">
      <c r="G19" s="180" cm="1">
        <f t="array" ref="G19" xml:space="preserve"> ROW() - ROW($2:$2)</f>
        <v>17</v>
      </c>
      <c r="H19" s="205" t="str">
        <f t="shared" si="0"/>
        <v>S</v>
      </c>
      <c r="I19" s="206" t="str">
        <f t="shared" si="1"/>
        <v>g</v>
      </c>
      <c r="K19" s="180">
        <v>17</v>
      </c>
      <c r="L19" s="195" t="str">
        <f t="shared" si="2"/>
        <v>g</v>
      </c>
      <c r="M19" s="195" t="str">
        <f t="shared" si="3"/>
        <v>ㄕ</v>
      </c>
      <c r="O19" s="180">
        <v>17</v>
      </c>
      <c r="P19" s="194" t="str">
        <f t="shared" si="4"/>
        <v/>
      </c>
      <c r="Q19" s="194" t="str">
        <f t="shared" si="5"/>
        <v/>
      </c>
      <c r="S19" s="180">
        <v>17</v>
      </c>
      <c r="T19" s="183" t="str">
        <f t="shared" si="6"/>
        <v>g</v>
      </c>
      <c r="U19" s="197" t="str">
        <f t="shared" si="7"/>
        <v>S</v>
      </c>
      <c r="V19" s="197" t="str">
        <f xml:space="preserve"> IFERROR( INDEX($Z$3:$Z$44, MATCH(表格1_33710[[#This Row],[方音符號]], $Y$3:$Y$44, 0)), "")</f>
        <v>sh</v>
      </c>
      <c r="W19" s="183" t="str">
        <f xml:space="preserve"> INDEX($M$3:$M$57, MATCH(表格1_33710[[#This Row],[鍵盤位置]], $L$3:$L$57,0))</f>
        <v>ㄕ</v>
      </c>
      <c r="Y19" s="242" t="str">
        <f xml:space="preserve"> INDEX($M$3:$M$44, MATCH(表格1_33710[[#This Row],[鍵盤位置]], $L$3:$L$44,0))</f>
        <v>ㄕ</v>
      </c>
      <c r="Z19" s="243" t="s">
        <v>813</v>
      </c>
      <c r="AA19" s="244" t="s">
        <v>843</v>
      </c>
    </row>
    <row r="20" spans="1:27">
      <c r="A20" s="238" t="s">
        <v>632</v>
      </c>
      <c r="G20" s="180" cm="1">
        <f t="array" ref="G20" xml:space="preserve"> ROW() - ROW($2:$2)</f>
        <v>18</v>
      </c>
      <c r="H20" s="216" t="str">
        <f t="shared" si="0"/>
        <v>r</v>
      </c>
      <c r="I20" s="217" t="str">
        <f t="shared" si="1"/>
        <v>b</v>
      </c>
      <c r="K20" s="180">
        <v>18</v>
      </c>
      <c r="L20" s="195" t="str">
        <f t="shared" si="2"/>
        <v>b</v>
      </c>
      <c r="M20" s="195" t="str">
        <f t="shared" si="3"/>
        <v>ㄖ</v>
      </c>
      <c r="O20" s="180">
        <v>18</v>
      </c>
      <c r="P20" s="194" t="str">
        <f t="shared" si="4"/>
        <v/>
      </c>
      <c r="Q20" s="194" t="str">
        <f t="shared" si="5"/>
        <v/>
      </c>
      <c r="S20" s="180">
        <v>18</v>
      </c>
      <c r="T20" s="183" t="str">
        <f t="shared" si="6"/>
        <v>b</v>
      </c>
      <c r="U20" s="197" t="str">
        <f t="shared" si="7"/>
        <v>r</v>
      </c>
      <c r="V20" s="197" t="str">
        <f xml:space="preserve"> IFERROR( INDEX($Z$3:$Z$44, MATCH(表格1_33710[[#This Row],[方音符號]], $Y$3:$Y$44, 0)), "")</f>
        <v>r</v>
      </c>
      <c r="W20" s="183" t="str">
        <f xml:space="preserve"> INDEX($M$3:$M$57, MATCH(表格1_33710[[#This Row],[鍵盤位置]], $L$3:$L$57,0))</f>
        <v>ㄖ</v>
      </c>
      <c r="Y20" s="242" t="str">
        <f xml:space="preserve"> INDEX($M$3:$M$44, MATCH(表格1_33710[[#This Row],[鍵盤位置]], $L$3:$L$44,0))</f>
        <v>ㄖ</v>
      </c>
      <c r="Z20" s="243" t="s">
        <v>765</v>
      </c>
      <c r="AA20" s="244" t="s">
        <v>844</v>
      </c>
    </row>
    <row r="21" spans="1:27">
      <c r="A21" s="252"/>
      <c r="G21" s="180" cm="1">
        <f t="array" ref="G21" xml:space="preserve"> ROW() - ROW($2:$2)</f>
        <v>19</v>
      </c>
      <c r="H21" s="221" t="str">
        <f t="shared" si="0"/>
        <v>z</v>
      </c>
      <c r="I21" s="222" t="str">
        <f t="shared" si="1"/>
        <v>y</v>
      </c>
      <c r="K21" s="180">
        <v>19</v>
      </c>
      <c r="L21" s="195" t="str">
        <f t="shared" si="2"/>
        <v>y</v>
      </c>
      <c r="M21" s="195" t="str">
        <f t="shared" si="3"/>
        <v>ㄗ</v>
      </c>
      <c r="O21" s="180">
        <v>19</v>
      </c>
      <c r="P21" s="194" t="str">
        <f t="shared" si="4"/>
        <v/>
      </c>
      <c r="Q21" s="194" t="str">
        <f t="shared" si="5"/>
        <v/>
      </c>
      <c r="S21" s="180">
        <v>19</v>
      </c>
      <c r="T21" s="183" t="str">
        <f t="shared" si="6"/>
        <v>y</v>
      </c>
      <c r="U21" s="197" t="str">
        <f t="shared" si="7"/>
        <v>z</v>
      </c>
      <c r="V21" s="197" t="str">
        <f xml:space="preserve"> IFERROR( INDEX($Z$3:$Z$44, MATCH(表格1_33710[[#This Row],[方音符號]], $Y$3:$Y$44, 0)), "")</f>
        <v>z</v>
      </c>
      <c r="W21" s="183" t="str">
        <f xml:space="preserve"> INDEX($M$3:$M$57, MATCH(表格1_33710[[#This Row],[鍵盤位置]], $L$3:$L$57,0))</f>
        <v>ㄗ</v>
      </c>
      <c r="Y21" s="242" t="str">
        <f xml:space="preserve"> INDEX($M$3:$M$44, MATCH(表格1_33710[[#This Row],[鍵盤位置]], $L$3:$L$44,0))</f>
        <v>ㄗ</v>
      </c>
      <c r="Z21" s="243" t="s">
        <v>301</v>
      </c>
      <c r="AA21" s="244" t="s">
        <v>845</v>
      </c>
    </row>
    <row r="22" spans="1:27">
      <c r="A22" s="180" t="e">
        <f xml:space="preserve"> SEARCH("|",A21,1)</f>
        <v>#VALUE!</v>
      </c>
      <c r="G22" s="180" cm="1">
        <f t="array" ref="G22" xml:space="preserve"> ROW() - ROW($2:$2)</f>
        <v>20</v>
      </c>
      <c r="H22" s="205" t="str">
        <f t="shared" si="0"/>
        <v>c</v>
      </c>
      <c r="I22" s="206" t="str">
        <f t="shared" si="1"/>
        <v>h</v>
      </c>
      <c r="K22" s="180">
        <v>20</v>
      </c>
      <c r="L22" s="195" t="str">
        <f t="shared" si="2"/>
        <v>h</v>
      </c>
      <c r="M22" s="195" t="str">
        <f t="shared" si="3"/>
        <v>ㄘ</v>
      </c>
      <c r="O22" s="180">
        <v>20</v>
      </c>
      <c r="P22" s="194" t="str">
        <f t="shared" si="4"/>
        <v/>
      </c>
      <c r="Q22" s="194" t="str">
        <f t="shared" si="5"/>
        <v/>
      </c>
      <c r="S22" s="180">
        <v>20</v>
      </c>
      <c r="T22" s="183" t="str">
        <f t="shared" si="6"/>
        <v>h</v>
      </c>
      <c r="U22" s="197" t="str">
        <f t="shared" si="7"/>
        <v>c</v>
      </c>
      <c r="V22" s="197" t="str">
        <f xml:space="preserve"> IFERROR( INDEX($Z$3:$Z$44, MATCH(表格1_33710[[#This Row],[方音符號]], $Y$3:$Y$44, 0)), "")</f>
        <v>ch</v>
      </c>
      <c r="W22" s="183" t="str">
        <f xml:space="preserve"> INDEX($M$3:$M$57, MATCH(表格1_33710[[#This Row],[鍵盤位置]], $L$3:$L$57,0))</f>
        <v>ㄘ</v>
      </c>
      <c r="Y22" s="242" t="str">
        <f xml:space="preserve"> INDEX($M$3:$M$44, MATCH(表格1_33710[[#This Row],[鍵盤位置]], $L$3:$L$44,0))</f>
        <v>ㄘ</v>
      </c>
      <c r="Z22" s="243" t="s">
        <v>324</v>
      </c>
      <c r="AA22" s="244" t="s">
        <v>846</v>
      </c>
    </row>
    <row r="23" spans="1:27">
      <c r="A23" s="180" t="e">
        <f xml:space="preserve"> SEARCH("|",A21,A22+1)</f>
        <v>#VALUE!</v>
      </c>
      <c r="G23" s="180" cm="1">
        <f t="array" ref="G23" xml:space="preserve"> ROW() - ROW($2:$2)</f>
        <v>21</v>
      </c>
      <c r="H23" s="225" t="str">
        <f t="shared" si="0"/>
        <v>s</v>
      </c>
      <c r="I23" s="225" t="str">
        <f t="shared" si="1"/>
        <v>n</v>
      </c>
      <c r="K23" s="180">
        <v>21</v>
      </c>
      <c r="L23" s="195" t="str">
        <f t="shared" si="2"/>
        <v>n</v>
      </c>
      <c r="M23" s="195" t="str">
        <f t="shared" si="3"/>
        <v>ㄙ</v>
      </c>
      <c r="O23" s="180">
        <v>21</v>
      </c>
      <c r="P23" s="194" t="str">
        <f t="shared" si="4"/>
        <v/>
      </c>
      <c r="Q23" s="194" t="str">
        <f t="shared" si="5"/>
        <v/>
      </c>
      <c r="S23" s="180">
        <v>21</v>
      </c>
      <c r="T23" s="183" t="str">
        <f t="shared" si="6"/>
        <v>n</v>
      </c>
      <c r="U23" s="197" t="str">
        <f t="shared" si="7"/>
        <v>s</v>
      </c>
      <c r="V23" s="197" t="str">
        <f xml:space="preserve"> IFERROR( INDEX($Z$3:$Z$44, MATCH(表格1_33710[[#This Row],[方音符號]], $Y$3:$Y$44, 0)), "")</f>
        <v>s</v>
      </c>
      <c r="W23" s="183" t="str">
        <f xml:space="preserve"> INDEX($M$3:$M$57, MATCH(表格1_33710[[#This Row],[鍵盤位置]], $L$3:$L$57,0))</f>
        <v>ㄙ</v>
      </c>
      <c r="Y23" s="242" t="str">
        <f xml:space="preserve"> INDEX($M$3:$M$44, MATCH(表格1_33710[[#This Row],[鍵盤位置]], $L$3:$L$44,0))</f>
        <v>ㄙ</v>
      </c>
      <c r="Z23" s="243" t="s">
        <v>136</v>
      </c>
      <c r="AA23" s="244" t="s">
        <v>391</v>
      </c>
    </row>
    <row r="24" spans="1:27">
      <c r="A24" s="180" t="e">
        <f xml:space="preserve"> SEARCH("|",A21,A23+1)</f>
        <v>#VALUE!</v>
      </c>
      <c r="G24" s="180" cm="1">
        <f t="array" ref="G24" xml:space="preserve"> ROW() - ROW($2:$2)</f>
        <v>22</v>
      </c>
      <c r="H24" s="225" t="str">
        <f t="shared" si="0"/>
        <v>i</v>
      </c>
      <c r="I24" s="225" t="str">
        <f t="shared" si="1"/>
        <v>u</v>
      </c>
      <c r="K24" s="180">
        <v>22</v>
      </c>
      <c r="L24" s="195" t="str">
        <f t="shared" si="2"/>
        <v>u</v>
      </c>
      <c r="M24" s="195" t="str">
        <f t="shared" si="3"/>
        <v>ㄧ</v>
      </c>
      <c r="O24" s="180">
        <v>22</v>
      </c>
      <c r="P24" s="194" t="str">
        <f t="shared" si="4"/>
        <v/>
      </c>
      <c r="Q24" s="194" t="str">
        <f t="shared" si="5"/>
        <v/>
      </c>
      <c r="S24" s="180">
        <v>22</v>
      </c>
      <c r="T24" s="183" t="str">
        <f t="shared" si="6"/>
        <v>u</v>
      </c>
      <c r="U24" s="197" t="str">
        <f t="shared" si="7"/>
        <v>i</v>
      </c>
      <c r="V24" s="197" t="str">
        <f xml:space="preserve"> IFERROR( INDEX($Z$3:$Z$44, MATCH(表格1_33710[[#This Row],[方音符號]], $Y$3:$Y$44, 0)), "")</f>
        <v>i</v>
      </c>
      <c r="W24" s="183" t="str">
        <f xml:space="preserve"> INDEX($M$3:$M$57, MATCH(表格1_33710[[#This Row],[鍵盤位置]], $L$3:$L$57,0))</f>
        <v>ㄧ</v>
      </c>
      <c r="Y24" s="242" t="str">
        <f xml:space="preserve"> INDEX($M$3:$M$44, MATCH(表格1_33710[[#This Row],[鍵盤位置]], $L$3:$L$44,0))</f>
        <v>ㄧ</v>
      </c>
      <c r="Z24" s="245" t="s">
        <v>49</v>
      </c>
      <c r="AA24" s="244" t="s">
        <v>373</v>
      </c>
    </row>
    <row r="25" spans="1:27">
      <c r="A25" s="235" t="e">
        <f xml:space="preserve"> MID(A21,A22+1, A24-A23-1)</f>
        <v>#VALUE!</v>
      </c>
      <c r="B25" s="236" t="e">
        <f xml:space="preserve"> LEN(A25)</f>
        <v>#VALUE!</v>
      </c>
      <c r="G25" s="180" cm="1">
        <f t="array" ref="G25" xml:space="preserve"> ROW() - ROW($2:$2)</f>
        <v>23</v>
      </c>
      <c r="H25" s="225" t="str">
        <f t="shared" si="0"/>
        <v>u</v>
      </c>
      <c r="I25" s="225" t="str">
        <f t="shared" si="1"/>
        <v>j</v>
      </c>
      <c r="K25" s="180">
        <v>23</v>
      </c>
      <c r="L25" s="195" t="str">
        <f t="shared" si="2"/>
        <v>j</v>
      </c>
      <c r="M25" s="195" t="str">
        <f t="shared" si="3"/>
        <v>ㄨ</v>
      </c>
      <c r="O25" s="180">
        <v>23</v>
      </c>
      <c r="P25" s="194" t="str">
        <f t="shared" si="4"/>
        <v/>
      </c>
      <c r="Q25" s="194" t="str">
        <f t="shared" si="5"/>
        <v/>
      </c>
      <c r="S25" s="180">
        <v>23</v>
      </c>
      <c r="T25" s="183" t="str">
        <f t="shared" si="6"/>
        <v>j</v>
      </c>
      <c r="U25" s="197" t="str">
        <f t="shared" si="7"/>
        <v>u</v>
      </c>
      <c r="V25" s="197" t="str">
        <f xml:space="preserve"> IFERROR( INDEX($Z$3:$Z$44, MATCH(表格1_33710[[#This Row],[方音符號]], $Y$3:$Y$44, 0)), "")</f>
        <v>u</v>
      </c>
      <c r="W25" s="183" t="str">
        <f xml:space="preserve"> INDEX($M$3:$M$57, MATCH(表格1_33710[[#This Row],[鍵盤位置]], $L$3:$L$57,0))</f>
        <v>ㄨ</v>
      </c>
      <c r="Y25" s="242" t="str">
        <f xml:space="preserve"> INDEX($M$3:$M$44, MATCH(表格1_33710[[#This Row],[鍵盤位置]], $L$3:$L$44,0))</f>
        <v>ㄨ</v>
      </c>
      <c r="Z25" s="245" t="s">
        <v>77</v>
      </c>
      <c r="AA25" s="244" t="s">
        <v>371</v>
      </c>
    </row>
    <row r="26" spans="1:27">
      <c r="A26" s="235" t="e">
        <f xml:space="preserve"> MID(A21,A23+1, A24-A23-1)</f>
        <v>#VALUE!</v>
      </c>
      <c r="B26" s="236" t="e">
        <f xml:space="preserve"> LEN(A26)</f>
        <v>#VALUE!</v>
      </c>
      <c r="G26" s="180" cm="1">
        <f t="array" ref="G26" xml:space="preserve"> ROW() - ROW($2:$2)</f>
        <v>24</v>
      </c>
      <c r="H26" s="225" t="str">
        <f t="shared" si="0"/>
        <v>v</v>
      </c>
      <c r="I26" s="225" t="str">
        <f t="shared" si="1"/>
        <v>m</v>
      </c>
      <c r="K26" s="180">
        <v>24</v>
      </c>
      <c r="L26" s="195" t="str">
        <f t="shared" si="2"/>
        <v>m</v>
      </c>
      <c r="M26" s="195" t="str">
        <f t="shared" si="3"/>
        <v>ㄩ</v>
      </c>
      <c r="O26" s="180">
        <v>24</v>
      </c>
      <c r="P26" s="194" t="str">
        <f t="shared" si="4"/>
        <v/>
      </c>
      <c r="Q26" s="194" t="str">
        <f t="shared" si="5"/>
        <v/>
      </c>
      <c r="S26" s="180">
        <v>24</v>
      </c>
      <c r="T26" s="183" t="str">
        <f t="shared" si="6"/>
        <v>m</v>
      </c>
      <c r="U26" s="197" t="str">
        <f t="shared" si="7"/>
        <v>v</v>
      </c>
      <c r="V26" s="197" t="str">
        <f xml:space="preserve"> IFERROR( INDEX($Z$3:$Z$44, MATCH(表格1_33710[[#This Row],[方音符號]], $Y$3:$Y$44, 0)), "")</f>
        <v xml:space="preserve">ü </v>
      </c>
      <c r="W26" s="183" t="str">
        <f xml:space="preserve"> INDEX($M$3:$M$57, MATCH(表格1_33710[[#This Row],[鍵盤位置]], $L$3:$L$57,0))</f>
        <v>ㄩ</v>
      </c>
      <c r="Y26" s="242" t="str">
        <f xml:space="preserve"> INDEX($M$3:$M$44, MATCH(表格1_33710[[#This Row],[鍵盤位置]], $L$3:$L$44,0))</f>
        <v>ㄩ</v>
      </c>
      <c r="Z26" s="245" t="s">
        <v>837</v>
      </c>
      <c r="AA26" s="244" t="s">
        <v>835</v>
      </c>
    </row>
    <row r="27" spans="1:27">
      <c r="G27" s="180" cm="1">
        <f t="array" ref="G27" xml:space="preserve"> ROW() - ROW($2:$2)</f>
        <v>25</v>
      </c>
      <c r="H27" s="225" t="str">
        <f t="shared" si="0"/>
        <v>a</v>
      </c>
      <c r="I27" s="225" t="str">
        <f t="shared" si="1"/>
        <v>8</v>
      </c>
      <c r="K27" s="180">
        <v>25</v>
      </c>
      <c r="L27" s="195" t="str">
        <f t="shared" si="2"/>
        <v>8</v>
      </c>
      <c r="M27" s="195" t="str">
        <f t="shared" si="3"/>
        <v>ㄚ</v>
      </c>
      <c r="O27" s="180">
        <v>25</v>
      </c>
      <c r="P27" s="194" t="str">
        <f t="shared" si="4"/>
        <v/>
      </c>
      <c r="Q27" s="194" t="str">
        <f t="shared" si="5"/>
        <v/>
      </c>
      <c r="S27" s="180">
        <v>25</v>
      </c>
      <c r="T27" s="183" t="str">
        <f t="shared" si="6"/>
        <v>8</v>
      </c>
      <c r="U27" s="197" t="str">
        <f t="shared" si="7"/>
        <v>a</v>
      </c>
      <c r="V27" s="197" t="str">
        <f xml:space="preserve"> IFERROR( INDEX($Z$3:$Z$44, MATCH(表格1_33710[[#This Row],[方音符號]], $Y$3:$Y$44, 0)), "")</f>
        <v>a</v>
      </c>
      <c r="W27" s="183" t="str">
        <f xml:space="preserve"> INDEX($M$3:$M$57, MATCH(表格1_33710[[#This Row],[鍵盤位置]], $L$3:$L$57,0))</f>
        <v>ㄚ</v>
      </c>
      <c r="Y27" s="242" t="str">
        <f xml:space="preserve"> INDEX($M$3:$M$44, MATCH(表格1_33710[[#This Row],[鍵盤位置]], $L$3:$L$44,0))</f>
        <v>ㄚ</v>
      </c>
      <c r="Z27" s="245" t="s">
        <v>21</v>
      </c>
      <c r="AA27" s="244" t="s">
        <v>375</v>
      </c>
    </row>
    <row r="28" spans="1:27">
      <c r="G28" s="180" cm="1">
        <f t="array" ref="G28" xml:space="preserve"> ROW() - ROW($2:$2)</f>
        <v>26</v>
      </c>
      <c r="H28" s="225" t="str">
        <f t="shared" si="0"/>
        <v>o</v>
      </c>
      <c r="I28" s="225" t="str">
        <f t="shared" si="1"/>
        <v>i</v>
      </c>
      <c r="K28" s="180">
        <v>26</v>
      </c>
      <c r="L28" s="195" t="str">
        <f t="shared" si="2"/>
        <v>i</v>
      </c>
      <c r="M28" s="195" t="str">
        <f t="shared" si="3"/>
        <v>ㄛ</v>
      </c>
      <c r="O28" s="180">
        <v>26</v>
      </c>
      <c r="P28" s="194" t="str">
        <f t="shared" si="4"/>
        <v/>
      </c>
      <c r="Q28" s="194" t="str">
        <f t="shared" si="5"/>
        <v/>
      </c>
      <c r="S28" s="180">
        <v>26</v>
      </c>
      <c r="T28" s="183" t="str">
        <f t="shared" si="6"/>
        <v>i</v>
      </c>
      <c r="U28" s="197" t="str">
        <f t="shared" si="7"/>
        <v>o</v>
      </c>
      <c r="V28" s="197" t="str">
        <f xml:space="preserve"> IFERROR( INDEX($Z$3:$Z$44, MATCH(表格1_33710[[#This Row],[方音符號]], $Y$3:$Y$44, 0)), "")</f>
        <v>o</v>
      </c>
      <c r="W28" s="183" t="str">
        <f xml:space="preserve"> INDEX($M$3:$M$57, MATCH(表格1_33710[[#This Row],[鍵盤位置]], $L$3:$L$57,0))</f>
        <v>ㄛ</v>
      </c>
      <c r="Y28" s="242" t="str">
        <f xml:space="preserve"> INDEX($M$3:$M$44, MATCH(表格1_33710[[#This Row],[鍵盤位置]], $L$3:$L$44,0))</f>
        <v>ㄛ</v>
      </c>
      <c r="Z28" s="245" t="s">
        <v>139</v>
      </c>
      <c r="AA28" s="244" t="s">
        <v>368</v>
      </c>
    </row>
    <row r="29" spans="1:27">
      <c r="G29" s="180" cm="1">
        <f t="array" ref="G29" xml:space="preserve"> ROW() - ROW($2:$2)</f>
        <v>27</v>
      </c>
      <c r="H29" s="225" t="str">
        <f t="shared" si="0"/>
        <v>e</v>
      </c>
      <c r="I29" s="225" t="str">
        <f t="shared" si="1"/>
        <v>k</v>
      </c>
      <c r="K29" s="180">
        <v>27</v>
      </c>
      <c r="L29" s="195" t="str">
        <f t="shared" si="2"/>
        <v>k</v>
      </c>
      <c r="M29" s="195" t="str">
        <f t="shared" si="3"/>
        <v>ㄜ</v>
      </c>
      <c r="O29" s="180">
        <v>27</v>
      </c>
      <c r="P29" s="194" t="str">
        <f t="shared" si="4"/>
        <v/>
      </c>
      <c r="Q29" s="194" t="str">
        <f t="shared" si="5"/>
        <v/>
      </c>
      <c r="S29" s="180">
        <v>27</v>
      </c>
      <c r="T29" s="183" t="str">
        <f t="shared" si="6"/>
        <v>k</v>
      </c>
      <c r="U29" s="197" t="str">
        <f t="shared" si="7"/>
        <v>e</v>
      </c>
      <c r="V29" s="197" t="str">
        <f xml:space="preserve"> IFERROR( INDEX($Z$3:$Z$44, MATCH(表格1_33710[[#This Row],[方音符號]], $Y$3:$Y$44, 0)), "")</f>
        <v>e</v>
      </c>
      <c r="W29" s="183" t="str">
        <f xml:space="preserve"> INDEX($M$3:$M$57, MATCH(表格1_33710[[#This Row],[鍵盤位置]], $L$3:$L$57,0))</f>
        <v>ㄜ</v>
      </c>
      <c r="Y29" s="242" t="str">
        <f xml:space="preserve"> INDEX($M$3:$M$44, MATCH(表格1_33710[[#This Row],[鍵盤位置]], $L$3:$L$44,0))</f>
        <v>ㄜ</v>
      </c>
      <c r="Z29" s="245" t="s">
        <v>141</v>
      </c>
      <c r="AA29" s="244" t="s">
        <v>822</v>
      </c>
    </row>
    <row r="30" spans="1:27">
      <c r="G30" s="180" cm="1">
        <f t="array" ref="G30" xml:space="preserve"> ROW() - ROW($2:$2)</f>
        <v>28</v>
      </c>
      <c r="H30" s="225" t="str">
        <f t="shared" si="0"/>
        <v>E</v>
      </c>
      <c r="I30" s="225" t="str">
        <f t="shared" si="1"/>
        <v>,</v>
      </c>
      <c r="K30" s="180">
        <v>28</v>
      </c>
      <c r="L30" s="195" t="str">
        <f t="shared" si="2"/>
        <v>,</v>
      </c>
      <c r="M30" s="195" t="str">
        <f t="shared" si="3"/>
        <v>ㄝ</v>
      </c>
      <c r="O30" s="180">
        <v>28</v>
      </c>
      <c r="P30" s="194" t="str">
        <f t="shared" si="4"/>
        <v/>
      </c>
      <c r="Q30" s="194" t="str">
        <f t="shared" si="5"/>
        <v/>
      </c>
      <c r="S30" s="180">
        <v>28</v>
      </c>
      <c r="T30" s="183" t="str">
        <f t="shared" si="6"/>
        <v>,</v>
      </c>
      <c r="U30" s="197" t="str">
        <f t="shared" si="7"/>
        <v>E</v>
      </c>
      <c r="V30" s="197" t="str">
        <f xml:space="preserve"> IFERROR( INDEX($Z$3:$Z$44, MATCH(表格1_33710[[#This Row],[方音符號]], $Y$3:$Y$44, 0)), "")</f>
        <v xml:space="preserve">ê </v>
      </c>
      <c r="W30" s="183" t="str">
        <f xml:space="preserve"> INDEX($M$3:$M$57, MATCH(表格1_33710[[#This Row],[鍵盤位置]], $L$3:$L$57,0))</f>
        <v>ㄝ</v>
      </c>
      <c r="Y30" s="242" t="str">
        <f xml:space="preserve"> INDEX($M$3:$M$44, MATCH(表格1_33710[[#This Row],[鍵盤位置]], $L$3:$L$44,0))</f>
        <v>ㄝ</v>
      </c>
      <c r="Z30" s="245" t="s">
        <v>839</v>
      </c>
      <c r="AA30" s="244" t="s">
        <v>821</v>
      </c>
    </row>
    <row r="31" spans="1:27">
      <c r="G31" s="180" cm="1">
        <f t="array" ref="G31" xml:space="preserve"> ROW() - ROW($2:$2)</f>
        <v>29</v>
      </c>
      <c r="H31" s="225" t="str">
        <f t="shared" si="0"/>
        <v>A</v>
      </c>
      <c r="I31" s="225" t="str">
        <f t="shared" si="1"/>
        <v>9</v>
      </c>
      <c r="K31" s="180">
        <v>29</v>
      </c>
      <c r="L31" s="195" t="str">
        <f t="shared" si="2"/>
        <v>9</v>
      </c>
      <c r="M31" s="195" t="str">
        <f t="shared" si="3"/>
        <v>ㄞ</v>
      </c>
      <c r="O31" s="180">
        <v>29</v>
      </c>
      <c r="P31" s="194" t="str">
        <f t="shared" si="4"/>
        <v/>
      </c>
      <c r="Q31" s="194" t="str">
        <f t="shared" si="5"/>
        <v/>
      </c>
      <c r="S31" s="180">
        <v>29</v>
      </c>
      <c r="T31" s="183" t="str">
        <f t="shared" si="6"/>
        <v>9</v>
      </c>
      <c r="U31" s="197" t="str">
        <f t="shared" si="7"/>
        <v>A</v>
      </c>
      <c r="V31" s="197" t="str">
        <f xml:space="preserve"> IFERROR( INDEX($Z$3:$Z$44, MATCH(表格1_33710[[#This Row],[方音符號]], $Y$3:$Y$44, 0)), "")</f>
        <v>ai</v>
      </c>
      <c r="W31" s="183" t="str">
        <f xml:space="preserve"> INDEX($M$3:$M$57, MATCH(表格1_33710[[#This Row],[鍵盤位置]], $L$3:$L$57,0))</f>
        <v>ㄞ</v>
      </c>
      <c r="Y31" s="242" t="str">
        <f xml:space="preserve"> INDEX($M$3:$M$44, MATCH(表格1_33710[[#This Row],[鍵盤位置]], $L$3:$L$44,0))</f>
        <v>ㄞ</v>
      </c>
      <c r="Z31" s="245" t="s">
        <v>143</v>
      </c>
      <c r="AA31" s="244" t="s">
        <v>820</v>
      </c>
    </row>
    <row r="32" spans="1:27">
      <c r="G32" s="180" cm="1">
        <f t="array" ref="G32" xml:space="preserve"> ROW() - ROW($2:$2)</f>
        <v>30</v>
      </c>
      <c r="H32" s="225" t="str">
        <f t="shared" si="0"/>
        <v>I</v>
      </c>
      <c r="I32" s="225" t="str">
        <f t="shared" si="1"/>
        <v>o</v>
      </c>
      <c r="K32" s="180">
        <v>30</v>
      </c>
      <c r="L32" s="195" t="str">
        <f t="shared" si="2"/>
        <v>o</v>
      </c>
      <c r="M32" s="195" t="str">
        <f t="shared" si="3"/>
        <v>ㄟ</v>
      </c>
      <c r="O32" s="180">
        <v>30</v>
      </c>
      <c r="P32" s="194" t="str">
        <f t="shared" si="4"/>
        <v/>
      </c>
      <c r="Q32" s="194" t="str">
        <f t="shared" si="5"/>
        <v/>
      </c>
      <c r="S32" s="180">
        <v>30</v>
      </c>
      <c r="T32" s="183" t="str">
        <f t="shared" si="6"/>
        <v>o</v>
      </c>
      <c r="U32" s="197" t="str">
        <f t="shared" si="7"/>
        <v>I</v>
      </c>
      <c r="V32" s="197" t="str">
        <f xml:space="preserve"> IFERROR( INDEX($Z$3:$Z$44, MATCH(表格1_33710[[#This Row],[方音符號]], $Y$3:$Y$44, 0)), "")</f>
        <v>ei</v>
      </c>
      <c r="W32" s="183" t="str">
        <f xml:space="preserve"> INDEX($M$3:$M$57, MATCH(表格1_33710[[#This Row],[鍵盤位置]], $L$3:$L$57,0))</f>
        <v>ㄟ</v>
      </c>
      <c r="Y32" s="242" t="str">
        <f xml:space="preserve"> INDEX($M$3:$M$44, MATCH(表格1_33710[[#This Row],[鍵盤位置]], $L$3:$L$44,0))</f>
        <v>ㄟ</v>
      </c>
      <c r="Z32" s="245" t="s">
        <v>815</v>
      </c>
      <c r="AA32" s="244" t="s">
        <v>819</v>
      </c>
    </row>
    <row r="33" spans="7:27">
      <c r="G33" s="180" cm="1">
        <f t="array" ref="G33" xml:space="preserve"> ROW() - ROW($2:$2)</f>
        <v>31</v>
      </c>
      <c r="H33" s="225" t="str">
        <f t="shared" si="0"/>
        <v>O</v>
      </c>
      <c r="I33" s="225" t="str">
        <f t="shared" si="1"/>
        <v>l</v>
      </c>
      <c r="K33" s="180">
        <v>31</v>
      </c>
      <c r="L33" s="195" t="str">
        <f t="shared" si="2"/>
        <v>l</v>
      </c>
      <c r="M33" s="195" t="str">
        <f t="shared" si="3"/>
        <v>ㄠ</v>
      </c>
      <c r="O33" s="180">
        <v>31</v>
      </c>
      <c r="P33" s="194" t="str">
        <f t="shared" si="4"/>
        <v/>
      </c>
      <c r="Q33" s="194" t="str">
        <f t="shared" si="5"/>
        <v/>
      </c>
      <c r="S33" s="180">
        <v>31</v>
      </c>
      <c r="T33" s="183" t="str">
        <f t="shared" si="6"/>
        <v>l</v>
      </c>
      <c r="U33" s="197" t="str">
        <f t="shared" si="7"/>
        <v>O</v>
      </c>
      <c r="V33" s="197" t="str">
        <f xml:space="preserve"> IFERROR( INDEX($Z$3:$Z$44, MATCH(表格1_33710[[#This Row],[方音符號]], $Y$3:$Y$44, 0)), "")</f>
        <v>ao</v>
      </c>
      <c r="W33" s="183" t="str">
        <f xml:space="preserve"> INDEX($M$3:$M$57, MATCH(表格1_33710[[#This Row],[鍵盤位置]], $L$3:$L$57,0))</f>
        <v>ㄠ</v>
      </c>
      <c r="Y33" s="242" t="str">
        <f xml:space="preserve"> INDEX($M$3:$M$44, MATCH(表格1_33710[[#This Row],[鍵盤位置]], $L$3:$L$44,0))</f>
        <v>ㄠ</v>
      </c>
      <c r="Z33" s="245" t="s">
        <v>817</v>
      </c>
      <c r="AA33" s="244" t="s">
        <v>831</v>
      </c>
    </row>
    <row r="34" spans="7:27">
      <c r="G34" s="180" cm="1">
        <f t="array" ref="G34" xml:space="preserve"> ROW() - ROW($2:$2)</f>
        <v>32</v>
      </c>
      <c r="H34" s="225" t="str">
        <f t="shared" si="0"/>
        <v>U</v>
      </c>
      <c r="I34" s="225" t="str">
        <f t="shared" si="1"/>
        <v>.</v>
      </c>
      <c r="K34" s="180">
        <v>32</v>
      </c>
      <c r="L34" s="195" t="str">
        <f t="shared" si="2"/>
        <v>.</v>
      </c>
      <c r="M34" s="195" t="str">
        <f t="shared" si="3"/>
        <v>ㄡ</v>
      </c>
      <c r="O34" s="180">
        <v>32</v>
      </c>
      <c r="P34" s="194" t="str">
        <f t="shared" si="4"/>
        <v/>
      </c>
      <c r="Q34" s="194" t="str">
        <f t="shared" si="5"/>
        <v/>
      </c>
      <c r="S34" s="180">
        <v>32</v>
      </c>
      <c r="T34" s="183" t="str">
        <f t="shared" si="6"/>
        <v>.</v>
      </c>
      <c r="U34" s="197" t="str">
        <f t="shared" si="7"/>
        <v>U</v>
      </c>
      <c r="V34" s="197" t="str">
        <f xml:space="preserve"> IFERROR( INDEX($Z$3:$Z$44, MATCH(表格1_33710[[#This Row],[方音符號]], $Y$3:$Y$44, 0)), "")</f>
        <v>ou</v>
      </c>
      <c r="W34" s="183" t="str">
        <f xml:space="preserve"> INDEX($M$3:$M$57, MATCH(表格1_33710[[#This Row],[鍵盤位置]], $L$3:$L$57,0))</f>
        <v>ㄡ</v>
      </c>
      <c r="Y34" s="242" t="str">
        <f xml:space="preserve"> INDEX($M$3:$M$44, MATCH(表格1_33710[[#This Row],[鍵盤位置]], $L$3:$L$44,0))</f>
        <v>ㄡ</v>
      </c>
      <c r="Z34" s="245" t="s">
        <v>834</v>
      </c>
      <c r="AA34" s="244" t="s">
        <v>832</v>
      </c>
    </row>
    <row r="35" spans="7:27">
      <c r="G35" s="180" cm="1">
        <f t="array" ref="G35" xml:space="preserve"> ROW() - ROW($2:$2)</f>
        <v>33</v>
      </c>
      <c r="H35" s="225" t="str">
        <f t="shared" ref="H35:H57" si="8" xml:space="preserve"> IFERROR( MID($A$6, $G35, 1), "")</f>
        <v>M</v>
      </c>
      <c r="I35" s="225" t="str">
        <f t="shared" ref="I35:I57" si="9" xml:space="preserve"> IFERROR( MID($A$7, $G35, 1), "")</f>
        <v>0</v>
      </c>
      <c r="K35" s="180">
        <v>33</v>
      </c>
      <c r="L35" s="195" t="str">
        <f t="shared" ref="L35:L57" si="10" xml:space="preserve"> IFERROR( MID($A$15, $G35, 1), "")</f>
        <v>0</v>
      </c>
      <c r="M35" s="195" t="str">
        <f t="shared" ref="M35:M57" si="11" xml:space="preserve"> IFERROR( MID($A$16, $G35, 1), "")</f>
        <v>ㄢ</v>
      </c>
      <c r="O35" s="180">
        <v>33</v>
      </c>
      <c r="P35" s="194" t="str">
        <f t="shared" si="4"/>
        <v/>
      </c>
      <c r="Q35" s="194" t="str">
        <f t="shared" si="5"/>
        <v/>
      </c>
      <c r="S35" s="180">
        <v>33</v>
      </c>
      <c r="T35" s="183" t="str">
        <f t="shared" ref="T35:T57" si="12">I35</f>
        <v>0</v>
      </c>
      <c r="U35" s="197" t="str">
        <f t="shared" ref="U35:U57" si="13">H35</f>
        <v>M</v>
      </c>
      <c r="V35" s="197" t="str">
        <f xml:space="preserve"> IFERROR( INDEX($Z$3:$Z$44, MATCH(表格1_33710[[#This Row],[方音符號]], $Y$3:$Y$44, 0)), "")</f>
        <v>an</v>
      </c>
      <c r="W35" s="183" t="str">
        <f xml:space="preserve"> INDEX($M$3:$M$57, MATCH(表格1_33710[[#This Row],[鍵盤位置]], $L$3:$L$57,0))</f>
        <v>ㄢ</v>
      </c>
      <c r="Y35" s="242" t="str">
        <f xml:space="preserve"> INDEX($M$3:$M$44, MATCH(表格1_33710[[#This Row],[鍵盤位置]], $L$3:$L$44,0))</f>
        <v>ㄢ</v>
      </c>
      <c r="Z35" s="245" t="s">
        <v>149</v>
      </c>
      <c r="AA35" s="244" t="s">
        <v>364</v>
      </c>
    </row>
    <row r="36" spans="7:27">
      <c r="G36" s="180" cm="1">
        <f t="array" ref="G36" xml:space="preserve"> ROW() - ROW($2:$2)</f>
        <v>34</v>
      </c>
      <c r="H36" s="225" t="str">
        <f t="shared" si="8"/>
        <v>N</v>
      </c>
      <c r="I36" s="225" t="str">
        <f t="shared" si="9"/>
        <v>p</v>
      </c>
      <c r="K36" s="180">
        <v>34</v>
      </c>
      <c r="L36" s="195" t="str">
        <f t="shared" si="10"/>
        <v>p</v>
      </c>
      <c r="M36" s="195" t="str">
        <f t="shared" si="11"/>
        <v>ㄣ</v>
      </c>
      <c r="O36" s="180">
        <v>34</v>
      </c>
      <c r="P36" s="194" t="str">
        <f t="shared" si="4"/>
        <v/>
      </c>
      <c r="Q36" s="194" t="str">
        <f t="shared" si="5"/>
        <v/>
      </c>
      <c r="S36" s="180">
        <v>34</v>
      </c>
      <c r="T36" s="183" t="str">
        <f t="shared" si="12"/>
        <v>p</v>
      </c>
      <c r="U36" s="197" t="str">
        <f t="shared" si="13"/>
        <v>N</v>
      </c>
      <c r="V36" s="197" t="str">
        <f xml:space="preserve"> IFERROR( INDEX($Z$3:$Z$44, MATCH(表格1_33710[[#This Row],[方音符號]], $Y$3:$Y$44, 0)), "")</f>
        <v>enn</v>
      </c>
      <c r="W36" s="183" t="str">
        <f xml:space="preserve"> INDEX($M$3:$M$57, MATCH(表格1_33710[[#This Row],[鍵盤位置]], $L$3:$L$57,0))</f>
        <v>ㄣ</v>
      </c>
      <c r="Y36" s="242" t="str">
        <f xml:space="preserve"> INDEX($M$3:$M$44, MATCH(表格1_33710[[#This Row],[鍵盤位置]], $L$3:$L$44,0))</f>
        <v>ㄣ</v>
      </c>
      <c r="Z36" s="245" t="s">
        <v>142</v>
      </c>
      <c r="AA36" s="244" t="s">
        <v>818</v>
      </c>
    </row>
    <row r="37" spans="7:27">
      <c r="G37" s="180" cm="1">
        <f t="array" ref="G37" xml:space="preserve"> ROW() - ROW($2:$2)</f>
        <v>35</v>
      </c>
      <c r="H37" s="225" t="str">
        <f t="shared" si="8"/>
        <v>K</v>
      </c>
      <c r="I37" s="225" t="str">
        <f t="shared" si="9"/>
        <v>;</v>
      </c>
      <c r="K37" s="180">
        <v>35</v>
      </c>
      <c r="L37" s="195" t="str">
        <f t="shared" si="10"/>
        <v>;</v>
      </c>
      <c r="M37" s="195" t="str">
        <f t="shared" si="11"/>
        <v>ㄤ</v>
      </c>
      <c r="O37" s="180">
        <v>35</v>
      </c>
      <c r="P37" s="194" t="str">
        <f t="shared" si="4"/>
        <v/>
      </c>
      <c r="Q37" s="194" t="str">
        <f t="shared" si="5"/>
        <v/>
      </c>
      <c r="S37" s="180">
        <v>35</v>
      </c>
      <c r="T37" s="183" t="str">
        <f t="shared" si="12"/>
        <v>;</v>
      </c>
      <c r="U37" s="197" t="str">
        <f t="shared" si="13"/>
        <v>K</v>
      </c>
      <c r="V37" s="197" t="str">
        <f xml:space="preserve"> IFERROR( INDEX($Z$3:$Z$44, MATCH(表格1_33710[[#This Row],[方音符號]], $Y$3:$Y$44, 0)), "")</f>
        <v>ang</v>
      </c>
      <c r="W37" s="183" t="str">
        <f xml:space="preserve"> INDEX($M$3:$M$57, MATCH(表格1_33710[[#This Row],[鍵盤位置]], $L$3:$L$57,0))</f>
        <v>ㄤ</v>
      </c>
      <c r="Y37" s="242" t="str">
        <f xml:space="preserve"> INDEX($M$3:$M$44, MATCH(表格1_33710[[#This Row],[鍵盤位置]], $L$3:$L$44,0))</f>
        <v>ㄤ</v>
      </c>
      <c r="Z37" s="245" t="s">
        <v>151</v>
      </c>
      <c r="AA37" s="244" t="s">
        <v>826</v>
      </c>
    </row>
    <row r="38" spans="7:27">
      <c r="G38" s="180" cm="1">
        <f t="array" ref="G38" xml:space="preserve"> ROW() - ROW($2:$2)</f>
        <v>36</v>
      </c>
      <c r="H38" s="225" t="str">
        <f t="shared" si="8"/>
        <v>G</v>
      </c>
      <c r="I38" s="225" t="str">
        <f t="shared" si="9"/>
        <v>/</v>
      </c>
      <c r="K38" s="180">
        <v>36</v>
      </c>
      <c r="L38" s="195" t="str">
        <f t="shared" si="10"/>
        <v>/</v>
      </c>
      <c r="M38" s="195" t="str">
        <f t="shared" si="11"/>
        <v>ㄥ</v>
      </c>
      <c r="O38" s="180">
        <v>36</v>
      </c>
      <c r="P38" s="194" t="str">
        <f t="shared" si="4"/>
        <v/>
      </c>
      <c r="Q38" s="194" t="str">
        <f t="shared" si="5"/>
        <v/>
      </c>
      <c r="S38" s="180">
        <v>36</v>
      </c>
      <c r="T38" s="183" t="str">
        <f t="shared" si="12"/>
        <v>/</v>
      </c>
      <c r="U38" s="197" t="str">
        <f t="shared" si="13"/>
        <v>G</v>
      </c>
      <c r="V38" s="197" t="str">
        <f xml:space="preserve"> IFERROR( INDEX($Z$3:$Z$44, MATCH(表格1_33710[[#This Row],[方音符號]], $Y$3:$Y$44, 0)), "")</f>
        <v>eng</v>
      </c>
      <c r="W38" s="183" t="str">
        <f xml:space="preserve"> INDEX($M$3:$M$57, MATCH(表格1_33710[[#This Row],[鍵盤位置]], $L$3:$L$57,0))</f>
        <v>ㄥ</v>
      </c>
      <c r="Y38" s="242" t="str">
        <f xml:space="preserve"> INDEX($M$3:$M$44, MATCH(表格1_33710[[#This Row],[鍵盤位置]], $L$3:$L$44,0))</f>
        <v>ㄥ</v>
      </c>
      <c r="Z38" s="245" t="s">
        <v>829</v>
      </c>
      <c r="AA38" s="244" t="s">
        <v>827</v>
      </c>
    </row>
    <row r="39" spans="7:27">
      <c r="G39" s="180" cm="1">
        <f t="array" ref="G39" xml:space="preserve"> ROW() - ROW($2:$2)</f>
        <v>37</v>
      </c>
      <c r="H39" s="225" t="str">
        <f t="shared" si="8"/>
        <v>R</v>
      </c>
      <c r="I39" s="225" t="str">
        <f t="shared" si="9"/>
        <v>-</v>
      </c>
      <c r="K39" s="180">
        <v>37</v>
      </c>
      <c r="L39" s="195" t="str">
        <f t="shared" si="10"/>
        <v>-</v>
      </c>
      <c r="M39" s="195" t="str">
        <f t="shared" si="11"/>
        <v>ㄦ</v>
      </c>
      <c r="O39" s="180">
        <v>37</v>
      </c>
      <c r="P39" s="194" t="str">
        <f t="shared" si="4"/>
        <v/>
      </c>
      <c r="Q39" s="194" t="str">
        <f t="shared" si="5"/>
        <v/>
      </c>
      <c r="S39" s="180">
        <v>37</v>
      </c>
      <c r="T39" s="183" t="str">
        <f t="shared" si="12"/>
        <v>-</v>
      </c>
      <c r="U39" s="197" t="str">
        <f t="shared" si="13"/>
        <v>R</v>
      </c>
      <c r="V39" s="197" t="str">
        <f xml:space="preserve"> IFERROR( INDEX($Z$3:$Z$44, MATCH(表格1_33710[[#This Row],[方音符號]], $Y$3:$Y$44, 0)), "")</f>
        <v>er</v>
      </c>
      <c r="W39" s="183" t="str">
        <f xml:space="preserve"> INDEX($M$3:$M$57, MATCH(表格1_33710[[#This Row],[鍵盤位置]], $L$3:$L$57,0))</f>
        <v>ㄦ</v>
      </c>
      <c r="Y39" s="242" t="str">
        <f xml:space="preserve"> INDEX($M$3:$M$44, MATCH(表格1_33710[[#This Row],[鍵盤位置]], $L$3:$L$44,0))</f>
        <v>ㄦ</v>
      </c>
      <c r="Z39" s="245" t="s">
        <v>825</v>
      </c>
      <c r="AA39" s="244" t="s">
        <v>823</v>
      </c>
    </row>
    <row r="40" spans="7:27">
      <c r="G40" s="180" cm="1">
        <f t="array" ref="G40" xml:space="preserve"> ROW() - ROW($2:$2)</f>
        <v>38</v>
      </c>
      <c r="H40" s="225" t="str">
        <f t="shared" si="8"/>
        <v>1</v>
      </c>
      <c r="I40" s="225" t="str">
        <f t="shared" si="9"/>
        <v xml:space="preserve"> </v>
      </c>
      <c r="K40" s="180">
        <v>38</v>
      </c>
      <c r="L40" s="195" t="str">
        <f t="shared" si="10"/>
        <v xml:space="preserve"> </v>
      </c>
      <c r="M40" s="195" t="str">
        <f t="shared" si="11"/>
        <v>ˉ</v>
      </c>
      <c r="O40" s="180">
        <v>38</v>
      </c>
      <c r="P40" s="194" t="str">
        <f t="shared" si="4"/>
        <v/>
      </c>
      <c r="Q40" s="194" t="str">
        <f t="shared" si="5"/>
        <v/>
      </c>
      <c r="S40" s="180">
        <v>38</v>
      </c>
      <c r="T40" s="183" t="str">
        <f t="shared" si="12"/>
        <v xml:space="preserve"> </v>
      </c>
      <c r="U40" s="197" t="str">
        <f t="shared" si="13"/>
        <v>1</v>
      </c>
      <c r="V40" s="197" t="str">
        <f xml:space="preserve"> IFERROR( INDEX($Z$3:$Z$44, MATCH(表格1_33710[[#This Row],[方音符號]], $Y$3:$Y$44, 0)), "")</f>
        <v>N/A</v>
      </c>
      <c r="W40" s="183" t="str">
        <f xml:space="preserve"> INDEX($M$3:$M$57, MATCH(表格1_33710[[#This Row],[鍵盤位置]], $L$3:$L$57,0))</f>
        <v>ˉ</v>
      </c>
      <c r="Y40" s="242" t="str">
        <f xml:space="preserve"> INDEX($M$3:$M$44, MATCH(表格1_33710[[#This Row],[鍵盤位置]], $L$3:$L$44,0))</f>
        <v>ˉ</v>
      </c>
      <c r="Z40" s="245" t="s">
        <v>830</v>
      </c>
      <c r="AA40" s="244"/>
    </row>
    <row r="41" spans="7:27">
      <c r="G41" s="180" cm="1">
        <f t="array" ref="G41" xml:space="preserve"> ROW() - ROW($2:$2)</f>
        <v>39</v>
      </c>
      <c r="H41" s="225" t="str">
        <f t="shared" si="8"/>
        <v>2</v>
      </c>
      <c r="I41" s="225" t="str">
        <f t="shared" si="9"/>
        <v>6</v>
      </c>
      <c r="K41" s="180">
        <v>39</v>
      </c>
      <c r="L41" s="195" t="str">
        <f t="shared" si="10"/>
        <v>6</v>
      </c>
      <c r="M41" s="195" t="str">
        <f t="shared" si="11"/>
        <v>ˊ</v>
      </c>
      <c r="O41" s="180">
        <v>39</v>
      </c>
      <c r="P41" s="194" t="str">
        <f t="shared" si="4"/>
        <v/>
      </c>
      <c r="Q41" s="194" t="str">
        <f t="shared" si="5"/>
        <v/>
      </c>
      <c r="S41" s="180">
        <v>39</v>
      </c>
      <c r="T41" s="183" t="str">
        <f t="shared" si="12"/>
        <v>6</v>
      </c>
      <c r="U41" s="197" t="str">
        <f t="shared" si="13"/>
        <v>2</v>
      </c>
      <c r="V41" s="197" t="str">
        <f xml:space="preserve"> IFERROR( INDEX($Z$3:$Z$44, MATCH(表格1_33710[[#This Row],[方音符號]], $Y$3:$Y$44, 0)), "")</f>
        <v>N/A</v>
      </c>
      <c r="W41" s="183" t="str">
        <f xml:space="preserve"> INDEX($M$3:$M$57, MATCH(表格1_33710[[#This Row],[鍵盤位置]], $L$3:$L$57,0))</f>
        <v>ˊ</v>
      </c>
      <c r="Y41" s="242" t="str">
        <f xml:space="preserve"> INDEX($M$3:$M$44, MATCH(表格1_33710[[#This Row],[鍵盤位置]], $L$3:$L$44,0))</f>
        <v>ˊ</v>
      </c>
      <c r="Z41" s="245" t="s">
        <v>830</v>
      </c>
      <c r="AA41" s="244"/>
    </row>
    <row r="42" spans="7:27">
      <c r="G42" s="180" cm="1">
        <f t="array" ref="G42" xml:space="preserve"> ROW() - ROW($2:$2)</f>
        <v>40</v>
      </c>
      <c r="H42" s="225" t="str">
        <f t="shared" si="8"/>
        <v>3</v>
      </c>
      <c r="I42" s="225" t="str">
        <f t="shared" si="9"/>
        <v>3</v>
      </c>
      <c r="K42" s="180">
        <v>40</v>
      </c>
      <c r="L42" s="195" t="str">
        <f t="shared" si="10"/>
        <v>3</v>
      </c>
      <c r="M42" s="195" t="str">
        <f t="shared" si="11"/>
        <v>ˇ</v>
      </c>
      <c r="O42" s="180">
        <v>40</v>
      </c>
      <c r="P42" s="194" t="str">
        <f t="shared" si="4"/>
        <v/>
      </c>
      <c r="Q42" s="194" t="str">
        <f t="shared" si="5"/>
        <v/>
      </c>
      <c r="S42" s="180">
        <v>40</v>
      </c>
      <c r="T42" s="183" t="str">
        <f t="shared" si="12"/>
        <v>3</v>
      </c>
      <c r="U42" s="197" t="str">
        <f t="shared" si="13"/>
        <v>3</v>
      </c>
      <c r="V42" s="197" t="str">
        <f xml:space="preserve"> IFERROR( INDEX($Z$3:$Z$44, MATCH(表格1_33710[[#This Row],[方音符號]], $Y$3:$Y$44, 0)), "")</f>
        <v>N/A</v>
      </c>
      <c r="W42" s="183" t="str">
        <f xml:space="preserve"> INDEX($M$3:$M$57, MATCH(表格1_33710[[#This Row],[鍵盤位置]], $L$3:$L$57,0))</f>
        <v>ˇ</v>
      </c>
      <c r="Y42" s="242" t="str">
        <f xml:space="preserve"> INDEX($M$3:$M$44, MATCH(表格1_33710[[#This Row],[鍵盤位置]], $L$3:$L$44,0))</f>
        <v>ˇ</v>
      </c>
      <c r="Z42" s="245" t="s">
        <v>830</v>
      </c>
      <c r="AA42" s="244"/>
    </row>
    <row r="43" spans="7:27">
      <c r="G43" s="180" cm="1">
        <f t="array" ref="G43" xml:space="preserve"> ROW() - ROW($2:$2)</f>
        <v>41</v>
      </c>
      <c r="H43" s="225" t="str">
        <f t="shared" si="8"/>
        <v>4</v>
      </c>
      <c r="I43" s="225" t="str">
        <f t="shared" si="9"/>
        <v>4</v>
      </c>
      <c r="K43" s="180">
        <v>41</v>
      </c>
      <c r="L43" s="195" t="str">
        <f t="shared" si="10"/>
        <v>4</v>
      </c>
      <c r="M43" s="195" t="str">
        <f t="shared" si="11"/>
        <v>ˋ</v>
      </c>
      <c r="O43" s="180">
        <v>41</v>
      </c>
      <c r="P43" s="194" t="str">
        <f t="shared" si="4"/>
        <v/>
      </c>
      <c r="Q43" s="194" t="str">
        <f t="shared" si="5"/>
        <v/>
      </c>
      <c r="S43" s="180">
        <v>41</v>
      </c>
      <c r="T43" s="183" t="str">
        <f t="shared" si="12"/>
        <v>4</v>
      </c>
      <c r="U43" s="197" t="str">
        <f t="shared" si="13"/>
        <v>4</v>
      </c>
      <c r="V43" s="197" t="str">
        <f xml:space="preserve"> IFERROR( INDEX($Z$3:$Z$44, MATCH(表格1_33710[[#This Row],[方音符號]], $Y$3:$Y$44, 0)), "")</f>
        <v>N/A</v>
      </c>
      <c r="W43" s="183" t="str">
        <f xml:space="preserve"> INDEX($M$3:$M$57, MATCH(表格1_33710[[#This Row],[鍵盤位置]], $L$3:$L$57,0))</f>
        <v>ˋ</v>
      </c>
      <c r="Y43" s="242" t="str">
        <f xml:space="preserve"> INDEX($M$3:$M$44, MATCH(表格1_33710[[#This Row],[鍵盤位置]], $L$3:$L$44,0))</f>
        <v>ˋ</v>
      </c>
      <c r="Z43" s="245" t="s">
        <v>830</v>
      </c>
      <c r="AA43" s="244"/>
    </row>
    <row r="44" spans="7:27">
      <c r="G44" s="180" cm="1">
        <f t="array" ref="G44" xml:space="preserve"> ROW() - ROW($2:$2)</f>
        <v>42</v>
      </c>
      <c r="H44" s="225" t="str">
        <f t="shared" si="8"/>
        <v>5</v>
      </c>
      <c r="I44" s="225" t="str">
        <f t="shared" si="9"/>
        <v>7</v>
      </c>
      <c r="K44" s="180">
        <v>42</v>
      </c>
      <c r="L44" s="195" t="str">
        <f t="shared" si="10"/>
        <v>7</v>
      </c>
      <c r="M44" s="195" t="str">
        <f t="shared" si="11"/>
        <v>˙</v>
      </c>
      <c r="O44" s="180">
        <v>42</v>
      </c>
      <c r="P44" s="194" t="str">
        <f t="shared" si="4"/>
        <v/>
      </c>
      <c r="Q44" s="194" t="str">
        <f t="shared" si="5"/>
        <v/>
      </c>
      <c r="S44" s="180">
        <v>42</v>
      </c>
      <c r="T44" s="183" t="str">
        <f t="shared" si="12"/>
        <v>7</v>
      </c>
      <c r="U44" s="197" t="str">
        <f t="shared" si="13"/>
        <v>5</v>
      </c>
      <c r="V44" s="197" t="str">
        <f xml:space="preserve"> IFERROR( INDEX($Z$3:$Z$44, MATCH(表格1_33710[[#This Row],[方音符號]], $Y$3:$Y$44, 0)), "")</f>
        <v>N/A</v>
      </c>
      <c r="W44" s="183" t="str">
        <f xml:space="preserve"> INDEX($M$3:$M$57, MATCH(表格1_33710[[#This Row],[鍵盤位置]], $L$3:$L$57,0))</f>
        <v>˙</v>
      </c>
      <c r="Y44" s="242" t="str">
        <f xml:space="preserve"> INDEX($M$3:$M$44, MATCH(表格1_33710[[#This Row],[鍵盤位置]], $L$3:$L$44,0))</f>
        <v>˙</v>
      </c>
      <c r="Z44" s="245" t="s">
        <v>830</v>
      </c>
      <c r="AA44" s="244"/>
    </row>
    <row r="45" spans="7:27">
      <c r="G45" s="180" cm="1">
        <f t="array" ref="G45" xml:space="preserve"> ROW() - ROW($2:$2)</f>
        <v>43</v>
      </c>
      <c r="H45" s="225" t="str">
        <f t="shared" si="8"/>
        <v/>
      </c>
      <c r="I45" s="225" t="str">
        <f t="shared" si="9"/>
        <v/>
      </c>
      <c r="K45" s="180">
        <v>43</v>
      </c>
      <c r="L45" s="195" t="str">
        <f t="shared" si="10"/>
        <v>'</v>
      </c>
      <c r="M45" s="195" t="str">
        <f t="shared" si="11"/>
        <v xml:space="preserve"> </v>
      </c>
      <c r="Q45" s="180"/>
      <c r="S45" s="180">
        <v>43</v>
      </c>
      <c r="T45" s="183" t="str">
        <f t="shared" si="12"/>
        <v/>
      </c>
      <c r="U45" s="197" t="str">
        <f t="shared" si="13"/>
        <v/>
      </c>
      <c r="V45" s="197" t="str">
        <f xml:space="preserve"> IFERROR( INDEX($Z$3:$Z$44, MATCH(表格1_33710[[#This Row],[方音符號]], $Y$3:$Y$44, 0)), "")</f>
        <v/>
      </c>
      <c r="W45" s="183" t="str">
        <f xml:space="preserve"> INDEX($M$3:$M$57, MATCH(表格1_33710[[#This Row],[鍵盤位置]], $L$3:$L$57,0))</f>
        <v/>
      </c>
    </row>
    <row r="46" spans="7:27">
      <c r="G46" s="180" cm="1">
        <f t="array" ref="G46" xml:space="preserve"> ROW() - ROW($2:$2)</f>
        <v>44</v>
      </c>
      <c r="H46" s="225" t="str">
        <f t="shared" si="8"/>
        <v/>
      </c>
      <c r="I46" s="225" t="str">
        <f t="shared" si="9"/>
        <v/>
      </c>
      <c r="K46" s="180">
        <v>44</v>
      </c>
      <c r="L46" s="195" t="str">
        <f t="shared" si="10"/>
        <v/>
      </c>
      <c r="M46" s="195" t="str">
        <f t="shared" si="11"/>
        <v/>
      </c>
      <c r="S46" s="180">
        <v>44</v>
      </c>
      <c r="T46" s="183" t="str">
        <f t="shared" si="12"/>
        <v/>
      </c>
      <c r="U46" s="197" t="str">
        <f t="shared" si="13"/>
        <v/>
      </c>
      <c r="V46" s="197" t="str">
        <f xml:space="preserve"> IFERROR( INDEX($Z$3:$Z$44, MATCH(表格1_33710[[#This Row],[方音符號]], $Y$3:$Y$44, 0)), "")</f>
        <v/>
      </c>
      <c r="W46" s="183" t="str">
        <f xml:space="preserve"> INDEX($M$3:$M$57, MATCH(表格1_33710[[#This Row],[鍵盤位置]], $L$3:$L$57,0))</f>
        <v/>
      </c>
    </row>
    <row r="47" spans="7:27">
      <c r="G47" s="180" cm="1">
        <f t="array" ref="G47" xml:space="preserve"> ROW() - ROW($2:$2)</f>
        <v>45</v>
      </c>
      <c r="H47" s="225" t="str">
        <f t="shared" si="8"/>
        <v/>
      </c>
      <c r="I47" s="225" t="str">
        <f t="shared" si="9"/>
        <v/>
      </c>
      <c r="K47" s="180">
        <v>45</v>
      </c>
      <c r="L47" s="195" t="str">
        <f t="shared" si="10"/>
        <v/>
      </c>
      <c r="M47" s="195" t="str">
        <f t="shared" si="11"/>
        <v/>
      </c>
      <c r="S47" s="180">
        <v>45</v>
      </c>
      <c r="T47" s="183" t="str">
        <f t="shared" si="12"/>
        <v/>
      </c>
      <c r="U47" s="197" t="str">
        <f t="shared" si="13"/>
        <v/>
      </c>
      <c r="V47" s="197" t="str">
        <f xml:space="preserve"> IFERROR( INDEX($Z$3:$Z$44, MATCH(表格1_33710[[#This Row],[方音符號]], $Y$3:$Y$44, 0)), "")</f>
        <v/>
      </c>
      <c r="W47" s="183" t="str">
        <f xml:space="preserve"> INDEX($M$3:$M$57, MATCH(表格1_33710[[#This Row],[鍵盤位置]], $L$3:$L$57,0))</f>
        <v/>
      </c>
    </row>
    <row r="48" spans="7:27">
      <c r="G48" s="180" cm="1">
        <f t="array" ref="G48" xml:space="preserve"> ROW() - ROW($2:$2)</f>
        <v>46</v>
      </c>
      <c r="H48" s="225" t="str">
        <f t="shared" si="8"/>
        <v/>
      </c>
      <c r="I48" s="225" t="str">
        <f t="shared" si="9"/>
        <v/>
      </c>
      <c r="K48" s="180">
        <v>46</v>
      </c>
      <c r="L48" s="195" t="str">
        <f t="shared" si="10"/>
        <v/>
      </c>
      <c r="M48" s="195" t="str">
        <f t="shared" si="11"/>
        <v/>
      </c>
      <c r="S48" s="180">
        <v>46</v>
      </c>
      <c r="T48" s="183" t="str">
        <f t="shared" si="12"/>
        <v/>
      </c>
      <c r="U48" s="197" t="str">
        <f t="shared" si="13"/>
        <v/>
      </c>
      <c r="V48" s="197" t="str">
        <f xml:space="preserve"> IFERROR( INDEX($Z$3:$Z$44, MATCH(表格1_33710[[#This Row],[方音符號]], $Y$3:$Y$44, 0)), "")</f>
        <v/>
      </c>
      <c r="W48" s="183" t="str">
        <f xml:space="preserve"> INDEX($M$3:$M$57, MATCH(表格1_33710[[#This Row],[鍵盤位置]], $L$3:$L$57,0))</f>
        <v/>
      </c>
    </row>
    <row r="49" spans="7:23">
      <c r="G49" s="180" cm="1">
        <f t="array" ref="G49" xml:space="preserve"> ROW() - ROW($2:$2)</f>
        <v>47</v>
      </c>
      <c r="H49" s="225" t="str">
        <f t="shared" si="8"/>
        <v/>
      </c>
      <c r="I49" s="225" t="str">
        <f t="shared" si="9"/>
        <v/>
      </c>
      <c r="K49" s="180">
        <v>47</v>
      </c>
      <c r="L49" s="195" t="str">
        <f t="shared" si="10"/>
        <v/>
      </c>
      <c r="M49" s="195" t="str">
        <f t="shared" si="11"/>
        <v/>
      </c>
      <c r="S49" s="180">
        <v>47</v>
      </c>
      <c r="T49" s="183" t="str">
        <f t="shared" si="12"/>
        <v/>
      </c>
      <c r="U49" s="197" t="str">
        <f t="shared" si="13"/>
        <v/>
      </c>
      <c r="V49" s="197" t="str">
        <f xml:space="preserve"> IFERROR( INDEX($Z$3:$Z$44, MATCH(表格1_33710[[#This Row],[方音符號]], $Y$3:$Y$44, 0)), "")</f>
        <v/>
      </c>
      <c r="W49" s="183" t="str">
        <f xml:space="preserve"> INDEX($M$3:$M$57, MATCH(表格1_33710[[#This Row],[鍵盤位置]], $L$3:$L$57,0))</f>
        <v/>
      </c>
    </row>
    <row r="50" spans="7:23">
      <c r="G50" s="180" cm="1">
        <f t="array" ref="G50" xml:space="preserve"> ROW() - ROW($2:$2)</f>
        <v>48</v>
      </c>
      <c r="H50" s="225" t="str">
        <f t="shared" si="8"/>
        <v/>
      </c>
      <c r="I50" s="225" t="str">
        <f t="shared" si="9"/>
        <v/>
      </c>
      <c r="K50" s="180">
        <v>48</v>
      </c>
      <c r="L50" s="195" t="str">
        <f t="shared" si="10"/>
        <v/>
      </c>
      <c r="M50" s="195" t="str">
        <f t="shared" si="11"/>
        <v/>
      </c>
      <c r="S50" s="180">
        <v>48</v>
      </c>
      <c r="T50" s="183" t="str">
        <f t="shared" si="12"/>
        <v/>
      </c>
      <c r="U50" s="197" t="str">
        <f t="shared" si="13"/>
        <v/>
      </c>
      <c r="V50" s="197" t="str">
        <f xml:space="preserve"> IFERROR( INDEX($Z$3:$Z$44, MATCH(表格1_33710[[#This Row],[方音符號]], $Y$3:$Y$44, 0)), "")</f>
        <v/>
      </c>
      <c r="W50" s="183" t="str">
        <f xml:space="preserve"> INDEX($M$3:$M$57, MATCH(表格1_33710[[#This Row],[鍵盤位置]], $L$3:$L$57,0))</f>
        <v/>
      </c>
    </row>
    <row r="51" spans="7:23">
      <c r="G51" s="180" cm="1">
        <f t="array" ref="G51" xml:space="preserve"> ROW() - ROW($2:$2)</f>
        <v>49</v>
      </c>
      <c r="H51" s="225" t="str">
        <f t="shared" si="8"/>
        <v/>
      </c>
      <c r="I51" s="225" t="str">
        <f t="shared" si="9"/>
        <v/>
      </c>
      <c r="K51" s="180">
        <v>49</v>
      </c>
      <c r="L51" s="195" t="str">
        <f t="shared" si="10"/>
        <v/>
      </c>
      <c r="M51" s="195" t="str">
        <f t="shared" si="11"/>
        <v/>
      </c>
      <c r="S51" s="180">
        <v>49</v>
      </c>
      <c r="T51" s="183" t="str">
        <f t="shared" si="12"/>
        <v/>
      </c>
      <c r="U51" s="197" t="str">
        <f t="shared" si="13"/>
        <v/>
      </c>
      <c r="V51" s="197" t="str">
        <f xml:space="preserve"> IFERROR( INDEX($Z$3:$Z$44, MATCH(表格1_33710[[#This Row],[方音符號]], $Y$3:$Y$44, 0)), "")</f>
        <v/>
      </c>
      <c r="W51" s="183" t="str">
        <f xml:space="preserve"> INDEX($M$3:$M$57, MATCH(表格1_33710[[#This Row],[鍵盤位置]], $L$3:$L$57,0))</f>
        <v/>
      </c>
    </row>
    <row r="52" spans="7:23">
      <c r="G52" s="180" cm="1">
        <f t="array" ref="G52" xml:space="preserve"> ROW() - ROW($2:$2)</f>
        <v>50</v>
      </c>
      <c r="H52" s="225" t="str">
        <f t="shared" si="8"/>
        <v/>
      </c>
      <c r="I52" s="225" t="str">
        <f t="shared" si="9"/>
        <v/>
      </c>
      <c r="K52" s="180">
        <v>50</v>
      </c>
      <c r="L52" s="195" t="str">
        <f t="shared" si="10"/>
        <v/>
      </c>
      <c r="M52" s="195" t="str">
        <f t="shared" si="11"/>
        <v/>
      </c>
      <c r="S52" s="180">
        <v>50</v>
      </c>
      <c r="T52" s="183" t="str">
        <f t="shared" si="12"/>
        <v/>
      </c>
      <c r="U52" s="197" t="str">
        <f t="shared" si="13"/>
        <v/>
      </c>
      <c r="V52" s="197" t="str">
        <f xml:space="preserve"> IFERROR( INDEX($Z$3:$Z$44, MATCH(表格1_33710[[#This Row],[方音符號]], $Y$3:$Y$44, 0)), "")</f>
        <v/>
      </c>
      <c r="W52" s="183" t="str">
        <f xml:space="preserve"> INDEX($M$3:$M$57, MATCH(表格1_33710[[#This Row],[鍵盤位置]], $L$3:$L$57,0))</f>
        <v/>
      </c>
    </row>
    <row r="53" spans="7:23">
      <c r="G53" s="180" cm="1">
        <f t="array" ref="G53" xml:space="preserve"> ROW() - ROW($2:$2)</f>
        <v>51</v>
      </c>
      <c r="H53" s="225" t="str">
        <f t="shared" si="8"/>
        <v/>
      </c>
      <c r="I53" s="225" t="str">
        <f t="shared" si="9"/>
        <v/>
      </c>
      <c r="K53" s="180">
        <v>51</v>
      </c>
      <c r="L53" s="195" t="str">
        <f t="shared" si="10"/>
        <v/>
      </c>
      <c r="M53" s="195" t="str">
        <f t="shared" si="11"/>
        <v/>
      </c>
      <c r="S53" s="180">
        <v>51</v>
      </c>
      <c r="T53" s="183" t="str">
        <f t="shared" si="12"/>
        <v/>
      </c>
      <c r="U53" s="197" t="str">
        <f t="shared" si="13"/>
        <v/>
      </c>
      <c r="V53" s="197" t="str">
        <f xml:space="preserve"> IFERROR( INDEX($Z$3:$Z$44, MATCH(表格1_33710[[#This Row],[方音符號]], $Y$3:$Y$44, 0)), "")</f>
        <v/>
      </c>
      <c r="W53" s="183" t="str">
        <f xml:space="preserve"> INDEX($M$3:$M$57, MATCH(表格1_33710[[#This Row],[鍵盤位置]], $L$3:$L$57,0))</f>
        <v/>
      </c>
    </row>
    <row r="54" spans="7:23">
      <c r="G54" s="180" cm="1">
        <f t="array" ref="G54" xml:space="preserve"> ROW() - ROW($2:$2)</f>
        <v>52</v>
      </c>
      <c r="H54" s="225" t="str">
        <f t="shared" si="8"/>
        <v/>
      </c>
      <c r="I54" s="225" t="str">
        <f t="shared" si="9"/>
        <v/>
      </c>
      <c r="K54" s="180">
        <v>52</v>
      </c>
      <c r="L54" s="195" t="str">
        <f t="shared" si="10"/>
        <v/>
      </c>
      <c r="M54" s="195" t="str">
        <f t="shared" si="11"/>
        <v/>
      </c>
      <c r="S54" s="180">
        <v>52</v>
      </c>
      <c r="T54" s="183" t="str">
        <f t="shared" si="12"/>
        <v/>
      </c>
      <c r="U54" s="197" t="str">
        <f t="shared" si="13"/>
        <v/>
      </c>
      <c r="V54" s="197" t="str">
        <f xml:space="preserve"> IFERROR( INDEX($Z$3:$Z$44, MATCH(表格1_33710[[#This Row],[方音符號]], $Y$3:$Y$44, 0)), "")</f>
        <v/>
      </c>
      <c r="W54" s="183" t="str">
        <f xml:space="preserve"> INDEX($M$3:$M$57, MATCH(表格1_33710[[#This Row],[鍵盤位置]], $L$3:$L$57,0))</f>
        <v/>
      </c>
    </row>
    <row r="55" spans="7:23">
      <c r="G55" s="180" cm="1">
        <f t="array" ref="G55" xml:space="preserve"> ROW() - ROW($2:$2)</f>
        <v>53</v>
      </c>
      <c r="H55" s="225" t="str">
        <f t="shared" si="8"/>
        <v/>
      </c>
      <c r="I55" s="225" t="str">
        <f t="shared" si="9"/>
        <v/>
      </c>
      <c r="K55" s="180">
        <v>53</v>
      </c>
      <c r="L55" s="195" t="str">
        <f t="shared" si="10"/>
        <v/>
      </c>
      <c r="M55" s="195" t="str">
        <f t="shared" si="11"/>
        <v/>
      </c>
      <c r="S55" s="180">
        <v>53</v>
      </c>
      <c r="T55" s="183" t="str">
        <f t="shared" si="12"/>
        <v/>
      </c>
      <c r="U55" s="197" t="str">
        <f t="shared" si="13"/>
        <v/>
      </c>
      <c r="V55" s="197" t="str">
        <f xml:space="preserve"> IFERROR( INDEX($Z$3:$Z$44, MATCH(表格1_33710[[#This Row],[方音符號]], $Y$3:$Y$44, 0)), "")</f>
        <v/>
      </c>
      <c r="W55" s="183" t="str">
        <f xml:space="preserve"> INDEX($M$3:$M$57, MATCH(表格1_33710[[#This Row],[鍵盤位置]], $L$3:$L$57,0))</f>
        <v/>
      </c>
    </row>
    <row r="56" spans="7:23">
      <c r="G56" s="180" cm="1">
        <f t="array" ref="G56" xml:space="preserve"> ROW() - ROW($2:$2)</f>
        <v>54</v>
      </c>
      <c r="H56" s="225" t="str">
        <f t="shared" si="8"/>
        <v/>
      </c>
      <c r="I56" s="225" t="str">
        <f t="shared" si="9"/>
        <v/>
      </c>
      <c r="K56" s="180">
        <v>54</v>
      </c>
      <c r="L56" s="195" t="str">
        <f t="shared" si="10"/>
        <v/>
      </c>
      <c r="M56" s="195" t="str">
        <f t="shared" si="11"/>
        <v/>
      </c>
      <c r="S56" s="180">
        <v>54</v>
      </c>
      <c r="T56" s="183" t="str">
        <f t="shared" si="12"/>
        <v/>
      </c>
      <c r="U56" s="197" t="str">
        <f t="shared" si="13"/>
        <v/>
      </c>
      <c r="V56" s="197" t="str">
        <f xml:space="preserve"> IFERROR( INDEX($Z$3:$Z$44, MATCH(表格1_33710[[#This Row],[方音符號]], $Y$3:$Y$44, 0)), "")</f>
        <v/>
      </c>
      <c r="W56" s="183" t="str">
        <f xml:space="preserve"> INDEX($M$3:$M$57, MATCH(表格1_33710[[#This Row],[鍵盤位置]], $L$3:$L$57,0))</f>
        <v/>
      </c>
    </row>
    <row r="57" spans="7:23">
      <c r="G57" s="180" cm="1">
        <f t="array" ref="G57" xml:space="preserve"> ROW() - ROW($2:$2)</f>
        <v>55</v>
      </c>
      <c r="H57" s="225" t="str">
        <f t="shared" si="8"/>
        <v/>
      </c>
      <c r="I57" s="225" t="str">
        <f t="shared" si="9"/>
        <v/>
      </c>
      <c r="K57" s="180">
        <v>55</v>
      </c>
      <c r="L57" s="195" t="str">
        <f t="shared" si="10"/>
        <v/>
      </c>
      <c r="M57" s="195" t="str">
        <f t="shared" si="11"/>
        <v/>
      </c>
      <c r="S57" s="180">
        <v>55</v>
      </c>
      <c r="T57" s="183" t="str">
        <f t="shared" si="12"/>
        <v/>
      </c>
      <c r="U57" s="197" t="str">
        <f t="shared" si="13"/>
        <v/>
      </c>
      <c r="V57" s="197" t="str">
        <f xml:space="preserve"> IFERROR( INDEX($Z$3:$Z$44, MATCH(表格1_33710[[#This Row],[方音符號]], $Y$3:$Y$44, 0)), "")</f>
        <v/>
      </c>
      <c r="W57" s="183" t="str">
        <f xml:space="preserve"> INDEX($M$3:$M$57, MATCH(表格1_33710[[#This Row],[鍵盤位置]], $L$3:$L$57,0))</f>
        <v/>
      </c>
    </row>
    <row r="58" spans="7:23">
      <c r="T58" s="183"/>
      <c r="U58" s="197"/>
      <c r="V58" s="197"/>
      <c r="W58" s="183"/>
    </row>
    <row r="59" spans="7:23">
      <c r="T59" s="183"/>
      <c r="U59" s="197"/>
      <c r="V59" s="197"/>
      <c r="W59" s="183"/>
    </row>
    <row r="60" spans="7:23">
      <c r="T60" s="183"/>
      <c r="U60" s="197"/>
      <c r="V60" s="197"/>
      <c r="W60" s="183"/>
    </row>
    <row r="61" spans="7:23">
      <c r="T61" s="183"/>
      <c r="U61" s="197"/>
      <c r="V61" s="197"/>
      <c r="W61" s="183"/>
    </row>
    <row r="62" spans="7:23">
      <c r="T62" s="183"/>
      <c r="U62" s="197"/>
      <c r="V62" s="197"/>
      <c r="W62" s="183"/>
    </row>
    <row r="63" spans="7:23">
      <c r="T63" s="183"/>
      <c r="U63" s="197"/>
      <c r="V63" s="197"/>
      <c r="W63" s="183"/>
    </row>
    <row r="64" spans="7:23">
      <c r="T64" s="183"/>
      <c r="U64" s="197"/>
      <c r="V64" s="197"/>
      <c r="W64" s="183"/>
    </row>
    <row r="65" spans="20:23">
      <c r="T65" s="183"/>
      <c r="U65" s="197"/>
      <c r="V65" s="197"/>
      <c r="W65" s="183"/>
    </row>
    <row r="66" spans="20:23">
      <c r="T66" s="183"/>
      <c r="U66" s="197"/>
      <c r="V66" s="197"/>
      <c r="W66" s="183"/>
    </row>
    <row r="67" spans="20:23">
      <c r="T67" s="183"/>
      <c r="U67" s="197"/>
      <c r="V67" s="197"/>
      <c r="W67" s="183"/>
    </row>
    <row r="68" spans="20:23">
      <c r="T68" s="183"/>
      <c r="U68" s="197"/>
      <c r="V68" s="197"/>
      <c r="W68" s="183"/>
    </row>
    <row r="69" spans="20:23">
      <c r="T69" s="183"/>
      <c r="U69" s="197"/>
      <c r="V69" s="197"/>
      <c r="W69" s="183"/>
    </row>
    <row r="70" spans="20:23">
      <c r="T70" s="183"/>
      <c r="U70" s="197"/>
      <c r="V70" s="197"/>
      <c r="W70" s="183"/>
    </row>
    <row r="72" spans="20:23">
      <c r="U72" s="180" t="str">
        <f xml:space="preserve"> _xlfn.CONCAT(按鍵編碼)</f>
        <v>bpmfdtnlgkhjqxZCSrzcsiuvaoeEAIOUMNKGR12345</v>
      </c>
    </row>
    <row r="73" spans="20:23">
      <c r="U73" s="180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46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4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workbookViewId="0"/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64" customWidth="1"/>
    <col min="62" max="62" width="20.8984375" style="364" customWidth="1"/>
    <col min="63" max="63" width="16.69921875" style="366" customWidth="1"/>
    <col min="64" max="65" width="11.8984375" style="364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57"/>
      <c r="AU1" s="57"/>
    </row>
    <row r="2" spans="1:65" s="3" customFormat="1" ht="40.5" customHeight="1">
      <c r="A2" s="41"/>
      <c r="B2" s="44" t="s">
        <v>103</v>
      </c>
      <c r="C2" s="45"/>
      <c r="D2" s="43" cm="1">
        <f t="array" ref="D2" xml:space="preserve"> COLUMN() - COLUMN($C:$C)</f>
        <v>1</v>
      </c>
      <c r="E2" s="43" cm="1">
        <f t="array" ref="E2" xml:space="preserve"> COLUMN() - COLUMN($C:$C)</f>
        <v>2</v>
      </c>
      <c r="F2" s="43" cm="1">
        <f t="array" ref="F2" xml:space="preserve"> COLUMN() - COLUMN($C:$C)</f>
        <v>3</v>
      </c>
      <c r="G2" s="74" cm="1">
        <f t="array" ref="G2" xml:space="preserve"> COLUMN() - COLUMN($C:$C)</f>
        <v>4</v>
      </c>
      <c r="H2" s="74" cm="1">
        <f t="array" ref="H2" xml:space="preserve"> COLUMN() - COLUMN($C:$C)</f>
        <v>5</v>
      </c>
      <c r="I2" s="74" cm="1">
        <f t="array" ref="I2" xml:space="preserve"> COLUMN() - COLUMN($C:$C)</f>
        <v>6</v>
      </c>
      <c r="J2" s="74" cm="1">
        <f t="array" ref="J2" xml:space="preserve"> COLUMN() - COLUMN($C:$C)</f>
        <v>7</v>
      </c>
      <c r="K2" s="43" cm="1">
        <f t="array" ref="K2" xml:space="preserve"> COLUMN() - COLUMN($C:$C)</f>
        <v>8</v>
      </c>
      <c r="L2" s="43" cm="1">
        <f t="array" ref="L2" xml:space="preserve"> COLUMN() - COLUMN($C:$C)</f>
        <v>9</v>
      </c>
      <c r="M2" s="43" cm="1">
        <f t="array" ref="M2" xml:space="preserve"> COLUMN() - COLUMN($C:$C)</f>
        <v>10</v>
      </c>
      <c r="N2" s="74" cm="1">
        <f t="array" ref="N2" xml:space="preserve"> COLUMN() - COLUMN($C:$C)</f>
        <v>11</v>
      </c>
      <c r="O2" s="43" cm="1">
        <f t="array" ref="O2" xml:space="preserve"> COLUMN() - COLUMN($C:$C)</f>
        <v>12</v>
      </c>
      <c r="P2" s="74" cm="1">
        <f t="array" ref="P2" xml:space="preserve"> COLUMN() - COLUMN($C:$C)</f>
        <v>13</v>
      </c>
      <c r="Q2" s="74" cm="1">
        <f t="array" ref="Q2" xml:space="preserve"> COLUMN() - COLUMN($C:$C)</f>
        <v>14</v>
      </c>
      <c r="R2" s="74" cm="1">
        <f t="array" ref="R2" xml:space="preserve"> COLUMN() - COLUMN($C:$C)</f>
        <v>15</v>
      </c>
      <c r="S2" s="74" cm="1">
        <f t="array" ref="S2" xml:space="preserve"> COLUMN() - COLUMN($C:$C)</f>
        <v>16</v>
      </c>
      <c r="T2" s="43" cm="1">
        <f t="array" ref="T2" xml:space="preserve"> COLUMN() - COLUMN($C:$C)</f>
        <v>17</v>
      </c>
      <c r="U2" s="43" cm="1">
        <f t="array" ref="U2" xml:space="preserve"> COLUMN() - COLUMN($C:$C)</f>
        <v>18</v>
      </c>
      <c r="V2" s="43" cm="1">
        <f t="array" ref="V2" xml:space="preserve"> COLUMN() - COLUMN($C:$C)</f>
        <v>19</v>
      </c>
      <c r="W2" s="43" cm="1">
        <f t="array" ref="W2" xml:space="preserve"> COLUMN() - COLUMN($C:$C)</f>
        <v>20</v>
      </c>
      <c r="X2" s="43" cm="1">
        <f t="array" ref="X2" xml:space="preserve"> COLUMN() - COLUMN($C:$C)</f>
        <v>21</v>
      </c>
      <c r="Y2" s="43" cm="1">
        <f t="array" ref="Y2" xml:space="preserve"> COLUMN() - COLUMN($C:$C)</f>
        <v>22</v>
      </c>
      <c r="Z2" s="43" cm="1">
        <f t="array" ref="Z2" xml:space="preserve"> COLUMN() - COLUMN($C:$C)</f>
        <v>23</v>
      </c>
      <c r="AA2" s="43" cm="1">
        <f t="array" ref="AA2" xml:space="preserve"> COLUMN() - COLUMN($C:$C)</f>
        <v>24</v>
      </c>
      <c r="AB2" s="43" cm="1">
        <f t="array" ref="AB2" xml:space="preserve"> COLUMN() - COLUMN($C:$C)</f>
        <v>25</v>
      </c>
      <c r="AC2" s="43" cm="1">
        <f t="array" ref="AC2" xml:space="preserve"> COLUMN() - COLUMN($C:$C)</f>
        <v>26</v>
      </c>
      <c r="AD2" s="43" cm="1">
        <f t="array" ref="AD2" xml:space="preserve"> COLUMN() - COLUMN($C:$C)</f>
        <v>27</v>
      </c>
      <c r="AE2" s="43" cm="1">
        <f t="array" ref="AE2" xml:space="preserve"> COLUMN() - COLUMN($C:$C)</f>
        <v>28</v>
      </c>
      <c r="AF2" s="43" cm="1">
        <f t="array" ref="AF2" xml:space="preserve"> COLUMN() - COLUMN($C:$C)</f>
        <v>29</v>
      </c>
      <c r="AG2" s="43" cm="1">
        <f t="array" ref="AG2" xml:space="preserve"> COLUMN() - COLUMN($C:$C)</f>
        <v>30</v>
      </c>
      <c r="AH2" s="43" cm="1">
        <f t="array" ref="AH2" xml:space="preserve"> COLUMN() - COLUMN($C:$C)</f>
        <v>31</v>
      </c>
      <c r="AI2" s="43" cm="1">
        <f t="array" ref="AI2" xml:space="preserve"> COLUMN() - COLUMN($C:$C)</f>
        <v>32</v>
      </c>
      <c r="AJ2" s="43" cm="1">
        <f t="array" ref="AJ2" xml:space="preserve"> COLUMN() - COLUMN($C:$C)</f>
        <v>33</v>
      </c>
      <c r="AK2" s="43" cm="1">
        <f t="array" ref="AK2" xml:space="preserve"> COLUMN() - COLUMN($C:$C)</f>
        <v>34</v>
      </c>
      <c r="AL2" s="43" cm="1">
        <f t="array" ref="AL2" xml:space="preserve"> COLUMN() - COLUMN($C:$C)</f>
        <v>35</v>
      </c>
      <c r="AM2" s="43" cm="1">
        <f t="array" ref="AM2" xml:space="preserve"> COLUMN() - COLUMN($C:$C)</f>
        <v>36</v>
      </c>
      <c r="AN2" s="43" cm="1">
        <f t="array" ref="AN2" xml:space="preserve"> COLUMN() - COLUMN($C:$C)</f>
        <v>37</v>
      </c>
      <c r="AO2" s="43" cm="1">
        <f t="array" ref="AO2" xml:space="preserve"> COLUMN() - COLUMN($C:$C)</f>
        <v>38</v>
      </c>
      <c r="AP2" s="43" cm="1">
        <f t="array" ref="AP2" xml:space="preserve"> COLUMN() - COLUMN($C:$C)</f>
        <v>39</v>
      </c>
      <c r="AQ2" s="43" cm="1">
        <f t="array" ref="AQ2" xml:space="preserve"> COLUMN() - COLUMN($C:$C)</f>
        <v>40</v>
      </c>
      <c r="AR2" s="43" cm="1">
        <f t="array" ref="AR2" xml:space="preserve"> COLUMN() - COLUMN($C:$C)</f>
        <v>41</v>
      </c>
      <c r="AS2" s="43" cm="1">
        <f t="array" ref="AS2" xml:space="preserve"> COLUMN() - COLUMN($C:$C)</f>
        <v>42</v>
      </c>
      <c r="AV2"/>
      <c r="AY2"/>
      <c r="AZ2"/>
      <c r="BA2"/>
      <c r="BB2"/>
      <c r="BI2" s="364"/>
      <c r="BJ2" s="364"/>
      <c r="BK2" s="366"/>
      <c r="BL2" s="364"/>
      <c r="BM2" s="364"/>
    </row>
    <row r="3" spans="1:65" ht="40.5" customHeight="1">
      <c r="A3" s="10"/>
      <c r="B3" s="48" t="s">
        <v>327</v>
      </c>
      <c r="C3" s="49"/>
      <c r="D3" s="331" t="s">
        <v>168</v>
      </c>
      <c r="E3" s="331" t="s">
        <v>164</v>
      </c>
      <c r="F3" s="331" t="s">
        <v>21</v>
      </c>
      <c r="G3" s="331" t="s">
        <v>165</v>
      </c>
      <c r="H3" s="331" t="s">
        <v>169</v>
      </c>
      <c r="I3" s="331" t="s">
        <v>170</v>
      </c>
      <c r="J3" s="331" t="s">
        <v>99</v>
      </c>
      <c r="K3" s="331" t="s">
        <v>171</v>
      </c>
      <c r="L3" s="331" t="s">
        <v>53</v>
      </c>
      <c r="M3" s="331" t="s">
        <v>163</v>
      </c>
      <c r="N3" s="331" t="s">
        <v>166</v>
      </c>
      <c r="O3" s="331" t="s">
        <v>172</v>
      </c>
      <c r="P3" s="331" t="s">
        <v>173</v>
      </c>
      <c r="Q3" s="331" t="s">
        <v>174</v>
      </c>
      <c r="R3" s="331" t="s">
        <v>189</v>
      </c>
      <c r="S3" s="331" t="s">
        <v>11</v>
      </c>
      <c r="T3" s="331" t="s">
        <v>45</v>
      </c>
      <c r="U3" s="331" t="s">
        <v>91</v>
      </c>
      <c r="V3" s="331" t="s">
        <v>175</v>
      </c>
      <c r="W3" s="331" t="s">
        <v>95</v>
      </c>
      <c r="X3" s="331" t="s">
        <v>68</v>
      </c>
      <c r="Y3" s="331" t="s">
        <v>77</v>
      </c>
      <c r="Z3" s="331" t="s">
        <v>97</v>
      </c>
      <c r="AA3" s="331" t="s">
        <v>66</v>
      </c>
      <c r="AB3" s="331" t="s">
        <v>176</v>
      </c>
      <c r="AC3" s="331" t="s">
        <v>49</v>
      </c>
      <c r="AD3" s="331" t="s">
        <v>42</v>
      </c>
      <c r="AE3" s="331" t="s">
        <v>180</v>
      </c>
      <c r="AF3" s="331" t="s">
        <v>178</v>
      </c>
      <c r="AG3" s="331" t="s">
        <v>79</v>
      </c>
      <c r="AH3" s="331" t="s">
        <v>93</v>
      </c>
      <c r="AI3" s="331" t="s">
        <v>675</v>
      </c>
      <c r="AJ3" s="331" t="s">
        <v>182</v>
      </c>
      <c r="AK3" s="331" t="s">
        <v>9</v>
      </c>
      <c r="AL3" s="331" t="s">
        <v>183</v>
      </c>
      <c r="AM3" s="331" t="s">
        <v>184</v>
      </c>
      <c r="AN3" s="331" t="s">
        <v>185</v>
      </c>
      <c r="AO3" s="331" t="s">
        <v>118</v>
      </c>
      <c r="AP3" s="331" t="s">
        <v>188</v>
      </c>
      <c r="AQ3" s="331" t="s">
        <v>187</v>
      </c>
      <c r="AR3" s="331" t="s">
        <v>186</v>
      </c>
      <c r="AS3" s="331" t="s">
        <v>190</v>
      </c>
    </row>
    <row r="4" spans="1:65" s="3" customFormat="1" ht="40.5" customHeight="1">
      <c r="A4" s="10"/>
      <c r="B4" s="66" t="s">
        <v>104</v>
      </c>
      <c r="C4" s="67"/>
      <c r="D4" s="174" t="str" cm="1">
        <f t="array" aca="1" ref="D4" ca="1" xml:space="preserve"> INDIRECT( ADDRESS( 8 + D$2, COLUMN($AZ:$AZ)))</f>
        <v>ㄅ</v>
      </c>
      <c r="E4" s="174" t="str" cm="1">
        <f t="array" aca="1" ref="E4" ca="1" xml:space="preserve"> INDIRECT( ADDRESS( 8 + E$2, COLUMN($AZ:$AZ)))</f>
        <v>ㄆ</v>
      </c>
      <c r="F4" s="174" t="str" cm="1">
        <f t="array" aca="1" ref="F4" ca="1" xml:space="preserve"> INDIRECT( ADDRESS( 8 + F$2, COLUMN($AZ:$AZ)))</f>
        <v>ㄇ</v>
      </c>
      <c r="G4" s="174" t="str" cm="1">
        <f t="array" aca="1" ref="G4" ca="1" xml:space="preserve"> INDIRECT( ADDRESS( 8 + G$2, COLUMN($AZ:$AZ)))</f>
        <v>ㄈ</v>
      </c>
      <c r="H4" s="174" t="str" cm="1">
        <f t="array" aca="1" ref="H4" ca="1" xml:space="preserve"> INDIRECT( ADDRESS( 8 + H$2, COLUMN($AZ:$AZ)))</f>
        <v>ㄉ</v>
      </c>
      <c r="I4" s="174" t="str" cm="1">
        <f t="array" aca="1" ref="I4" ca="1" xml:space="preserve"> INDIRECT( ADDRESS( 8 + I$2, COLUMN($AZ:$AZ)))</f>
        <v>ㄊ</v>
      </c>
      <c r="J4" s="174" t="str" cm="1">
        <f t="array" aca="1" ref="J4" ca="1" xml:space="preserve"> INDIRECT( ADDRESS( 8 + J$2, COLUMN($AZ:$AZ)))</f>
        <v>ㄋ</v>
      </c>
      <c r="K4" s="174" t="str" cm="1">
        <f t="array" aca="1" ref="K4" ca="1" xml:space="preserve"> INDIRECT( ADDRESS( 8 + K$2, COLUMN($AZ:$AZ)))</f>
        <v>ㄌ</v>
      </c>
      <c r="L4" s="174" t="str" cm="1">
        <f t="array" aca="1" ref="L4" ca="1" xml:space="preserve"> INDIRECT( ADDRESS( 8 + L$2, COLUMN($AZ:$AZ)))</f>
        <v>ㄍ</v>
      </c>
      <c r="M4" s="174" t="str" cm="1">
        <f t="array" aca="1" ref="M4" ca="1" xml:space="preserve"> INDIRECT( ADDRESS( 8 + M$2, COLUMN($AZ:$AZ)))</f>
        <v>ㄎ</v>
      </c>
      <c r="N4" s="174" t="str" cm="1">
        <f t="array" aca="1" ref="N4" ca="1" xml:space="preserve"> INDIRECT( ADDRESS( 8 + N$2, COLUMN($AZ:$AZ)))</f>
        <v>ㄏ</v>
      </c>
      <c r="O4" s="174" t="str" cm="1">
        <f t="array" aca="1" ref="O4" ca="1" xml:space="preserve"> INDIRECT( ADDRESS( 8 + O$2, COLUMN($AZ:$AZ)))</f>
        <v>ㄐ</v>
      </c>
      <c r="P4" s="174" t="str" cm="1">
        <f t="array" aca="1" ref="P4" ca="1" xml:space="preserve"> INDIRECT( ADDRESS( 8 + P$2, COLUMN($AZ:$AZ)))</f>
        <v>ㄑ</v>
      </c>
      <c r="Q4" s="174" t="str" cm="1">
        <f t="array" aca="1" ref="Q4" ca="1" xml:space="preserve"> INDIRECT( ADDRESS( 8 + Q$2, COLUMN($AZ:$AZ)))</f>
        <v>ㄒ</v>
      </c>
      <c r="R4" s="174" t="str" cm="1">
        <f t="array" aca="1" ref="R4" ca="1" xml:space="preserve"> INDIRECT( ADDRESS( 8 + R$2, COLUMN($AZ:$AZ)))</f>
        <v>ㄓ</v>
      </c>
      <c r="S4" s="174" t="str" cm="1">
        <f t="array" aca="1" ref="S4" ca="1" xml:space="preserve"> INDIRECT( ADDRESS( 8 + S$2, COLUMN($AZ:$AZ)))</f>
        <v>ㄔ</v>
      </c>
      <c r="T4" s="174" t="str" cm="1">
        <f t="array" aca="1" ref="T4" ca="1" xml:space="preserve"> INDIRECT( ADDRESS( 8 + T$2, COLUMN($AZ:$AZ)))</f>
        <v>ㄕ</v>
      </c>
      <c r="U4" s="174" t="str" cm="1">
        <f t="array" aca="1" ref="U4" ca="1" xml:space="preserve"> INDIRECT( ADDRESS( 8 + U$2, COLUMN($AZ:$AZ)))</f>
        <v>ㄖ</v>
      </c>
      <c r="V4" s="174" t="str" cm="1">
        <f t="array" aca="1" ref="V4" ca="1" xml:space="preserve"> INDIRECT( ADDRESS( 8 + V$2, COLUMN($AZ:$AZ)))</f>
        <v>ㄗ</v>
      </c>
      <c r="W4" s="174" t="str" cm="1">
        <f t="array" aca="1" ref="W4" ca="1" xml:space="preserve"> INDIRECT( ADDRESS( 8 + W$2, COLUMN($AZ:$AZ)))</f>
        <v>ㄘ</v>
      </c>
      <c r="X4" s="174" t="str" cm="1">
        <f t="array" aca="1" ref="X4" ca="1" xml:space="preserve"> INDIRECT( ADDRESS( 8 + X$2, COLUMN($AZ:$AZ)))</f>
        <v>ㄙ</v>
      </c>
      <c r="Y4" s="174" t="str" cm="1">
        <f t="array" aca="1" ref="Y4" ca="1" xml:space="preserve"> INDIRECT( ADDRESS( 8 + Y$2, COLUMN($AZ:$AZ)))</f>
        <v>ㄧ</v>
      </c>
      <c r="Z4" s="174" t="str" cm="1">
        <f t="array" aca="1" ref="Z4" ca="1" xml:space="preserve"> INDIRECT( ADDRESS( 8 + Z$2, COLUMN($AZ:$AZ)))</f>
        <v>ㄨ</v>
      </c>
      <c r="AA4" s="174" t="str" cm="1">
        <f t="array" aca="1" ref="AA4" ca="1" xml:space="preserve"> INDIRECT( ADDRESS( 8 + AA$2, COLUMN($AZ:$AZ)))</f>
        <v>ㄩ</v>
      </c>
      <c r="AB4" s="174" t="str" cm="1">
        <f t="array" aca="1" ref="AB4" ca="1" xml:space="preserve"> INDIRECT( ADDRESS( 8 + AB$2, COLUMN($AZ:$AZ)))</f>
        <v>ㄚ</v>
      </c>
      <c r="AC4" s="174" t="str" cm="1">
        <f t="array" aca="1" ref="AC4" ca="1" xml:space="preserve"> INDIRECT( ADDRESS( 8 + AC$2, COLUMN($AZ:$AZ)))</f>
        <v>ㄛ</v>
      </c>
      <c r="AD4" s="174" t="str" cm="1">
        <f t="array" aca="1" ref="AD4" ca="1" xml:space="preserve"> INDIRECT( ADDRESS( 8 + AD$2, COLUMN($AZ:$AZ)))</f>
        <v>ㄜ</v>
      </c>
      <c r="AE4" s="174" t="str" cm="1">
        <f t="array" aca="1" ref="AE4" ca="1" xml:space="preserve"> INDIRECT( ADDRESS( 8 + AE$2, COLUMN($AZ:$AZ)))</f>
        <v>ㄝ</v>
      </c>
      <c r="AF4" s="174" t="str" cm="1">
        <f t="array" aca="1" ref="AF4" ca="1" xml:space="preserve"> INDIRECT( ADDRESS( 8 + AF$2, COLUMN($AZ:$AZ)))</f>
        <v>ㄞ</v>
      </c>
      <c r="AG4" s="174" t="str" cm="1">
        <f t="array" aca="1" ref="AG4" ca="1" xml:space="preserve"> INDIRECT( ADDRESS( 8 + AG$2, COLUMN($AZ:$AZ)))</f>
        <v>ㄟ</v>
      </c>
      <c r="AH4" s="174" t="str" cm="1">
        <f t="array" aca="1" ref="AH4" ca="1" xml:space="preserve"> INDIRECT( ADDRESS( 8 + AH$2, COLUMN($AZ:$AZ)))</f>
        <v>ㄠ</v>
      </c>
      <c r="AI4" s="174" t="str" cm="1">
        <f t="array" aca="1" ref="AI4" ca="1" xml:space="preserve"> INDIRECT( ADDRESS( 8 + AI$2, COLUMN($AZ:$AZ)))</f>
        <v>ㄡ</v>
      </c>
      <c r="AJ4" s="174" t="str" cm="1">
        <f t="array" aca="1" ref="AJ4" ca="1" xml:space="preserve"> INDIRECT( ADDRESS( 8 + AJ$2, COLUMN($AZ:$AZ)))</f>
        <v>ㄢ</v>
      </c>
      <c r="AK4" s="174" t="str" cm="1">
        <f t="array" aca="1" ref="AK4" ca="1" xml:space="preserve"> INDIRECT( ADDRESS( 8 + AK$2, COLUMN($AZ:$AZ)))</f>
        <v>ㄣ</v>
      </c>
      <c r="AL4" s="174" t="str" cm="1">
        <f t="array" aca="1" ref="AL4" ca="1" xml:space="preserve"> INDIRECT( ADDRESS( 8 + AL$2, COLUMN($AZ:$AZ)))</f>
        <v>ㄤ</v>
      </c>
      <c r="AM4" s="174" t="str" cm="1">
        <f t="array" aca="1" ref="AM4" ca="1" xml:space="preserve"> INDIRECT( ADDRESS( 8 + AM$2, COLUMN($AZ:$AZ)))</f>
        <v>ㄥ</v>
      </c>
      <c r="AN4" s="174" t="str" cm="1">
        <f t="array" aca="1" ref="AN4" ca="1" xml:space="preserve"> INDIRECT( ADDRESS( 8 + AN$2, COLUMN($AZ:$AZ)))</f>
        <v>ㄦ</v>
      </c>
      <c r="AO4" s="174" t="str" cm="1">
        <f t="array" aca="1" ref="AO4" ca="1" xml:space="preserve"> INDIRECT( ADDRESS( 8 + AO$2, COLUMN($AZ:$AZ)))</f>
        <v>ˉ</v>
      </c>
      <c r="AP4" s="174" t="str" cm="1">
        <f t="array" aca="1" ref="AP4" ca="1" xml:space="preserve"> INDIRECT( ADDRESS( 8 + AP$2, COLUMN($AZ:$AZ)))</f>
        <v>ˊ</v>
      </c>
      <c r="AQ4" s="174" t="str" cm="1">
        <f t="array" aca="1" ref="AQ4" ca="1" xml:space="preserve"> INDIRECT( ADDRESS( 8 + AQ$2, COLUMN($AZ:$AZ)))</f>
        <v>ˇ</v>
      </c>
      <c r="AR4" s="174" t="str" cm="1">
        <f t="array" aca="1" ref="AR4" ca="1" xml:space="preserve"> INDIRECT( ADDRESS( 8 + AR$2, COLUMN($AZ:$AZ)))</f>
        <v>ˋ</v>
      </c>
      <c r="AS4" s="174" t="str" cm="1">
        <f t="array" aca="1" ref="AS4" ca="1" xml:space="preserve"> INDIRECT( ADDRESS( 8 + AS$2, COLUMN($AZ:$AZ)))</f>
        <v>˙</v>
      </c>
      <c r="AV4"/>
      <c r="AY4"/>
      <c r="AZ4"/>
      <c r="BA4"/>
      <c r="BB4" s="344" t="s">
        <v>770</v>
      </c>
      <c r="BC4" s="362" t="s">
        <v>892</v>
      </c>
      <c r="BD4" s="363"/>
      <c r="BE4" s="363"/>
      <c r="BF4" s="363"/>
      <c r="BG4" s="363"/>
      <c r="BI4" s="364"/>
      <c r="BJ4" s="364"/>
      <c r="BK4" s="366"/>
      <c r="BL4" s="364"/>
      <c r="BM4" s="364"/>
    </row>
    <row r="5" spans="1:65" ht="40.5" customHeight="1">
      <c r="A5" s="10"/>
      <c r="B5" s="68" t="s">
        <v>326</v>
      </c>
      <c r="C5" s="69"/>
      <c r="D5" s="131" t="str" cm="1">
        <f t="array" aca="1" ref="D5" ca="1" xml:space="preserve"> INDIRECT( ADDRESS( 8 + D$2, COLUMN($AX:$AX)))</f>
        <v>b</v>
      </c>
      <c r="E5" s="131" t="str" cm="1">
        <f t="array" aca="1" ref="E5" ca="1" xml:space="preserve"> INDIRECT( ADDRESS( 8 + E$2, COLUMN($AX:$AX)))</f>
        <v>p</v>
      </c>
      <c r="F5" s="131" t="str" cm="1">
        <f t="array" aca="1" ref="F5" ca="1" xml:space="preserve"> INDIRECT( ADDRESS( 8 + F$2, COLUMN($AX:$AX)))</f>
        <v>m</v>
      </c>
      <c r="G5" s="131" t="str" cm="1">
        <f t="array" aca="1" ref="G5" ca="1" xml:space="preserve"> INDIRECT( ADDRESS( 8 + G$2, COLUMN($AX:$AX)))</f>
        <v>f</v>
      </c>
      <c r="H5" s="131" t="str" cm="1">
        <f t="array" aca="1" ref="H5" ca="1" xml:space="preserve"> INDIRECT( ADDRESS( 8 + H$2, COLUMN($AX:$AX)))</f>
        <v>d</v>
      </c>
      <c r="I5" s="131" t="str" cm="1">
        <f t="array" aca="1" ref="I5" ca="1" xml:space="preserve"> INDIRECT( ADDRESS( 8 + I$2, COLUMN($AX:$AX)))</f>
        <v>t</v>
      </c>
      <c r="J5" s="131" t="str" cm="1">
        <f t="array" aca="1" ref="J5" ca="1" xml:space="preserve"> INDIRECT( ADDRESS( 8 + J$2, COLUMN($AX:$AX)))</f>
        <v>n</v>
      </c>
      <c r="K5" s="131" t="str" cm="1">
        <f t="array" aca="1" ref="K5" ca="1" xml:space="preserve"> INDIRECT( ADDRESS( 8 + K$2, COLUMN($AX:$AX)))</f>
        <v>l</v>
      </c>
      <c r="L5" s="131" t="str" cm="1">
        <f t="array" aca="1" ref="L5" ca="1" xml:space="preserve"> INDIRECT( ADDRESS( 8 + L$2, COLUMN($AX:$AX)))</f>
        <v>g</v>
      </c>
      <c r="M5" s="131" t="str" cm="1">
        <f t="array" aca="1" ref="M5" ca="1" xml:space="preserve"> INDIRECT( ADDRESS( 8 + M$2, COLUMN($AX:$AX)))</f>
        <v>k</v>
      </c>
      <c r="N5" s="131" t="str" cm="1">
        <f t="array" aca="1" ref="N5" ca="1" xml:space="preserve"> INDIRECT( ADDRESS( 8 + N$2, COLUMN($AX:$AX)))</f>
        <v>h</v>
      </c>
      <c r="O5" s="131" t="str" cm="1">
        <f t="array" aca="1" ref="O5" ca="1" xml:space="preserve"> INDIRECT( ADDRESS( 8 + O$2, COLUMN($AX:$AX)))</f>
        <v>j</v>
      </c>
      <c r="P5" s="131" t="str" cm="1">
        <f t="array" aca="1" ref="P5" ca="1" xml:space="preserve"> INDIRECT( ADDRESS( 8 + P$2, COLUMN($AX:$AX)))</f>
        <v>q</v>
      </c>
      <c r="Q5" s="131" t="str" cm="1">
        <f t="array" aca="1" ref="Q5" ca="1" xml:space="preserve"> INDIRECT( ADDRESS( 8 + Q$2, COLUMN($AX:$AX)))</f>
        <v>x</v>
      </c>
      <c r="R5" s="131" t="str" cm="1">
        <f t="array" aca="1" ref="R5" ca="1" xml:space="preserve"> INDIRECT( ADDRESS( 8 + R$2, COLUMN($AX:$AX)))</f>
        <v>Z</v>
      </c>
      <c r="S5" s="131" t="str" cm="1">
        <f t="array" aca="1" ref="S5" ca="1" xml:space="preserve"> INDIRECT( ADDRESS( 8 + S$2, COLUMN($AX:$AX)))</f>
        <v>C</v>
      </c>
      <c r="T5" s="131" t="str" cm="1">
        <f t="array" aca="1" ref="T5" ca="1" xml:space="preserve"> INDIRECT( ADDRESS( 8 + T$2, COLUMN($AX:$AX)))</f>
        <v>S</v>
      </c>
      <c r="U5" s="131" t="str" cm="1">
        <f t="array" aca="1" ref="U5" ca="1" xml:space="preserve"> INDIRECT( ADDRESS( 8 + U$2, COLUMN($AX:$AX)))</f>
        <v>r</v>
      </c>
      <c r="V5" s="131" t="str" cm="1">
        <f t="array" aca="1" ref="V5" ca="1" xml:space="preserve"> INDIRECT( ADDRESS( 8 + V$2, COLUMN($AX:$AX)))</f>
        <v>z</v>
      </c>
      <c r="W5" s="131" t="str" cm="1">
        <f t="array" aca="1" ref="W5" ca="1" xml:space="preserve"> INDIRECT( ADDRESS( 8 + W$2, COLUMN($AX:$AX)))</f>
        <v>c</v>
      </c>
      <c r="X5" s="131" t="str" cm="1">
        <f t="array" aca="1" ref="X5" ca="1" xml:space="preserve"> INDIRECT( ADDRESS( 8 + X$2, COLUMN($AX:$AX)))</f>
        <v>s</v>
      </c>
      <c r="Y5" s="131" t="str" cm="1">
        <f t="array" aca="1" ref="Y5" ca="1" xml:space="preserve"> INDIRECT( ADDRESS( 8 + Y$2, COLUMN($AX:$AX)))</f>
        <v>i</v>
      </c>
      <c r="Z5" s="131" t="str" cm="1">
        <f t="array" aca="1" ref="Z5" ca="1" xml:space="preserve"> INDIRECT( ADDRESS( 8 + Z$2, COLUMN($AX:$AX)))</f>
        <v>u</v>
      </c>
      <c r="AA5" s="131" t="str" cm="1">
        <f t="array" aca="1" ref="AA5" ca="1" xml:space="preserve"> INDIRECT( ADDRESS( 8 + AA$2, COLUMN($AX:$AX)))</f>
        <v>v</v>
      </c>
      <c r="AB5" s="131" t="str" cm="1">
        <f t="array" aca="1" ref="AB5" ca="1" xml:space="preserve"> INDIRECT( ADDRESS( 8 + AB$2, COLUMN($AX:$AX)))</f>
        <v>a</v>
      </c>
      <c r="AC5" s="131" t="str" cm="1">
        <f t="array" aca="1" ref="AC5" ca="1" xml:space="preserve"> INDIRECT( ADDRESS( 8 + AC$2, COLUMN($AX:$AX)))</f>
        <v>o</v>
      </c>
      <c r="AD5" s="131" t="str" cm="1">
        <f t="array" aca="1" ref="AD5" ca="1" xml:space="preserve"> INDIRECT( ADDRESS( 8 + AD$2, COLUMN($AX:$AX)))</f>
        <v>e</v>
      </c>
      <c r="AE5" s="131" t="str" cm="1">
        <f t="array" aca="1" ref="AE5" ca="1" xml:space="preserve"> INDIRECT( ADDRESS( 8 + AE$2, COLUMN($AX:$AX)))</f>
        <v>E</v>
      </c>
      <c r="AF5" s="131" t="str" cm="1">
        <f t="array" aca="1" ref="AF5" ca="1" xml:space="preserve"> INDIRECT( ADDRESS( 8 + AF$2, COLUMN($AX:$AX)))</f>
        <v>A</v>
      </c>
      <c r="AG5" s="131" t="str" cm="1">
        <f t="array" aca="1" ref="AG5" ca="1" xml:space="preserve"> INDIRECT( ADDRESS( 8 + AG$2, COLUMN($AX:$AX)))</f>
        <v>I</v>
      </c>
      <c r="AH5" s="131" t="str" cm="1">
        <f t="array" aca="1" ref="AH5" ca="1" xml:space="preserve"> INDIRECT( ADDRESS( 8 + AH$2, COLUMN($AX:$AX)))</f>
        <v>O</v>
      </c>
      <c r="AI5" s="131" t="str" cm="1">
        <f t="array" aca="1" ref="AI5" ca="1" xml:space="preserve"> INDIRECT( ADDRESS( 8 + AI$2, COLUMN($AX:$AX)))</f>
        <v>U</v>
      </c>
      <c r="AJ5" s="131" t="str" cm="1">
        <f t="array" aca="1" ref="AJ5" ca="1" xml:space="preserve"> INDIRECT( ADDRESS( 8 + AJ$2, COLUMN($AX:$AX)))</f>
        <v>M</v>
      </c>
      <c r="AK5" s="131" t="str" cm="1">
        <f t="array" aca="1" ref="AK5" ca="1" xml:space="preserve"> INDIRECT( ADDRESS( 8 + AK$2, COLUMN($AX:$AX)))</f>
        <v>N</v>
      </c>
      <c r="AL5" s="131" t="str" cm="1">
        <f t="array" aca="1" ref="AL5" ca="1" xml:space="preserve"> INDIRECT( ADDRESS( 8 + AL$2, COLUMN($AX:$AX)))</f>
        <v>K</v>
      </c>
      <c r="AM5" s="131" t="str" cm="1">
        <f t="array" aca="1" ref="AM5" ca="1" xml:space="preserve"> INDIRECT( ADDRESS( 8 + AM$2, COLUMN($AX:$AX)))</f>
        <v>G</v>
      </c>
      <c r="AN5" s="131" t="str" cm="1">
        <f t="array" aca="1" ref="AN5" ca="1" xml:space="preserve"> INDIRECT( ADDRESS( 8 + AN$2, COLUMN($AX:$AX)))</f>
        <v>R</v>
      </c>
      <c r="AO5" s="131" t="str" cm="1">
        <f t="array" aca="1" ref="AO5" ca="1" xml:space="preserve"> INDIRECT( ADDRESS( 8 + AO$2, COLUMN($AX:$AX)))</f>
        <v>1</v>
      </c>
      <c r="AP5" s="131" t="str" cm="1">
        <f t="array" aca="1" ref="AP5" ca="1" xml:space="preserve"> INDIRECT( ADDRESS( 8 + AP$2, COLUMN($AX:$AX)))</f>
        <v>2</v>
      </c>
      <c r="AQ5" s="131" t="str" cm="1">
        <f t="array" aca="1" ref="AQ5" ca="1" xml:space="preserve"> INDIRECT( ADDRESS( 8 + AQ$2, COLUMN($AX:$AX)))</f>
        <v>3</v>
      </c>
      <c r="AR5" s="131" t="str" cm="1">
        <f t="array" aca="1" ref="AR5" ca="1" xml:space="preserve"> INDIRECT( ADDRESS( 8 + AR$2, COLUMN($AX:$AX)))</f>
        <v>4</v>
      </c>
      <c r="AS5" s="131" t="str" cm="1">
        <f t="array" aca="1" ref="AS5" ca="1" xml:space="preserve"> INDIRECT( ADDRESS( 8 + AS$2, COLUMN($AX:$AX)))</f>
        <v>5</v>
      </c>
      <c r="BB5" s="344" t="s">
        <v>771</v>
      </c>
      <c r="BC5" s="362" t="s">
        <v>893</v>
      </c>
      <c r="BD5" s="363"/>
      <c r="BE5" s="363"/>
      <c r="BF5" s="363"/>
      <c r="BG5" s="363"/>
    </row>
    <row r="6" spans="1:65" s="3" customFormat="1" ht="40.5" customHeight="1">
      <c r="A6" s="10"/>
      <c r="B6" s="46" t="s">
        <v>356</v>
      </c>
      <c r="C6" s="47"/>
      <c r="D6" s="133" t="str" cm="1">
        <f t="array" aca="1" ref="D6" ca="1" xml:space="preserve"> INDIRECT( ADDRESS( 8 + D$2, COLUMN($AY:$AY)))</f>
        <v>b</v>
      </c>
      <c r="E6" s="133" t="str" cm="1">
        <f t="array" aca="1" ref="E6" ca="1" xml:space="preserve"> INDIRECT( ADDRESS( 8 + E$2, COLUMN($AY:$AY)))</f>
        <v>p</v>
      </c>
      <c r="F6" s="133" t="str" cm="1">
        <f t="array" aca="1" ref="F6" ca="1" xml:space="preserve"> INDIRECT( ADDRESS( 8 + F$2, COLUMN($AY:$AY)))</f>
        <v>m</v>
      </c>
      <c r="G6" s="133" t="str" cm="1">
        <f t="array" aca="1" ref="G6" ca="1" xml:space="preserve"> INDIRECT( ADDRESS( 8 + G$2, COLUMN($AY:$AY)))</f>
        <v>f</v>
      </c>
      <c r="H6" s="133" t="str" cm="1">
        <f t="array" aca="1" ref="H6" ca="1" xml:space="preserve"> INDIRECT( ADDRESS( 8 + H$2, COLUMN($AY:$AY)))</f>
        <v>d</v>
      </c>
      <c r="I6" s="133" t="str" cm="1">
        <f t="array" aca="1" ref="I6" ca="1" xml:space="preserve"> INDIRECT( ADDRESS( 8 + I$2, COLUMN($AY:$AY)))</f>
        <v>t</v>
      </c>
      <c r="J6" s="133" t="str" cm="1">
        <f t="array" aca="1" ref="J6" ca="1" xml:space="preserve"> INDIRECT( ADDRESS( 8 + J$2, COLUMN($AY:$AY)))</f>
        <v>n</v>
      </c>
      <c r="K6" s="133" t="str" cm="1">
        <f t="array" aca="1" ref="K6" ca="1" xml:space="preserve"> INDIRECT( ADDRESS( 8 + K$2, COLUMN($AY:$AY)))</f>
        <v>l</v>
      </c>
      <c r="L6" s="133" t="str" cm="1">
        <f t="array" aca="1" ref="L6" ca="1" xml:space="preserve"> INDIRECT( ADDRESS( 8 + L$2, COLUMN($AY:$AY)))</f>
        <v>g</v>
      </c>
      <c r="M6" s="133" t="str" cm="1">
        <f t="array" aca="1" ref="M6" ca="1" xml:space="preserve"> INDIRECT( ADDRESS( 8 + M$2, COLUMN($AY:$AY)))</f>
        <v>k</v>
      </c>
      <c r="N6" s="133" t="str" cm="1">
        <f t="array" aca="1" ref="N6" ca="1" xml:space="preserve"> INDIRECT( ADDRESS( 8 + N$2, COLUMN($AY:$AY)))</f>
        <v>h</v>
      </c>
      <c r="O6" s="133" t="str" cm="1">
        <f t="array" aca="1" ref="O6" ca="1" xml:space="preserve"> INDIRECT( ADDRESS( 8 + O$2, COLUMN($AY:$AY)))</f>
        <v>j</v>
      </c>
      <c r="P6" s="133" t="str" cm="1">
        <f t="array" aca="1" ref="P6" ca="1" xml:space="preserve"> INDIRECT( ADDRESS( 8 + P$2, COLUMN($AY:$AY)))</f>
        <v>q</v>
      </c>
      <c r="Q6" s="133" t="str" cm="1">
        <f t="array" aca="1" ref="Q6" ca="1" xml:space="preserve"> INDIRECT( ADDRESS( 8 + Q$2, COLUMN($AY:$AY)))</f>
        <v>x</v>
      </c>
      <c r="R6" s="133" t="str" cm="1">
        <f t="array" aca="1" ref="R6" ca="1" xml:space="preserve"> INDIRECT( ADDRESS( 8 + R$2, COLUMN($AY:$AY)))</f>
        <v>zh</v>
      </c>
      <c r="S6" s="133" t="str" cm="1">
        <f t="array" aca="1" ref="S6" ca="1" xml:space="preserve"> INDIRECT( ADDRESS( 8 + S$2, COLUMN($AY:$AY)))</f>
        <v>ch</v>
      </c>
      <c r="T6" s="133" t="str" cm="1">
        <f t="array" aca="1" ref="T6" ca="1" xml:space="preserve"> INDIRECT( ADDRESS( 8 + T$2, COLUMN($AY:$AY)))</f>
        <v>sh</v>
      </c>
      <c r="U6" s="133" t="str" cm="1">
        <f t="array" aca="1" ref="U6" ca="1" xml:space="preserve"> INDIRECT( ADDRESS( 8 + U$2, COLUMN($AY:$AY)))</f>
        <v>r</v>
      </c>
      <c r="V6" s="133" t="str" cm="1">
        <f t="array" aca="1" ref="V6" ca="1" xml:space="preserve"> INDIRECT( ADDRESS( 8 + V$2, COLUMN($AY:$AY)))</f>
        <v>z</v>
      </c>
      <c r="W6" s="133" t="str" cm="1">
        <f t="array" aca="1" ref="W6" ca="1" xml:space="preserve"> INDIRECT( ADDRESS( 8 + W$2, COLUMN($AY:$AY)))</f>
        <v>ch</v>
      </c>
      <c r="X6" s="133" t="str" cm="1">
        <f t="array" aca="1" ref="X6" ca="1" xml:space="preserve"> INDIRECT( ADDRESS( 8 + X$2, COLUMN($AY:$AY)))</f>
        <v>s</v>
      </c>
      <c r="Y6" s="133" t="str" cm="1">
        <f t="array" aca="1" ref="Y6" ca="1" xml:space="preserve"> INDIRECT( ADDRESS( 8 + Y$2, COLUMN($AY:$AY)))</f>
        <v>i</v>
      </c>
      <c r="Z6" s="133" t="str" cm="1">
        <f t="array" aca="1" ref="Z6" ca="1" xml:space="preserve"> INDIRECT( ADDRESS( 8 + Z$2, COLUMN($AY:$AY)))</f>
        <v>u</v>
      </c>
      <c r="AA6" s="133" t="str" cm="1">
        <f t="array" aca="1" ref="AA6" ca="1" xml:space="preserve"> INDIRECT( ADDRESS( 8 + AA$2, COLUMN($AY:$AY)))</f>
        <v xml:space="preserve">ü </v>
      </c>
      <c r="AB6" s="133" t="str" cm="1">
        <f t="array" aca="1" ref="AB6" ca="1" xml:space="preserve"> INDIRECT( ADDRESS( 8 + AB$2, COLUMN($AY:$AY)))</f>
        <v>a</v>
      </c>
      <c r="AC6" s="133" t="str" cm="1">
        <f t="array" aca="1" ref="AC6" ca="1" xml:space="preserve"> INDIRECT( ADDRESS( 8 + AC$2, COLUMN($AY:$AY)))</f>
        <v>o</v>
      </c>
      <c r="AD6" s="133" t="str" cm="1">
        <f t="array" aca="1" ref="AD6" ca="1" xml:space="preserve"> INDIRECT( ADDRESS( 8 + AD$2, COLUMN($AY:$AY)))</f>
        <v>e</v>
      </c>
      <c r="AE6" s="133" t="str" cm="1">
        <f t="array" aca="1" ref="AE6" ca="1" xml:space="preserve"> INDIRECT( ADDRESS( 8 + AE$2, COLUMN($AY:$AY)))</f>
        <v xml:space="preserve">ê </v>
      </c>
      <c r="AF6" s="133" t="str" cm="1">
        <f t="array" aca="1" ref="AF6" ca="1" xml:space="preserve"> INDIRECT( ADDRESS( 8 + AF$2, COLUMN($AY:$AY)))</f>
        <v>ai</v>
      </c>
      <c r="AG6" s="133" t="str" cm="1">
        <f t="array" aca="1" ref="AG6" ca="1" xml:space="preserve"> INDIRECT( ADDRESS( 8 + AG$2, COLUMN($AY:$AY)))</f>
        <v>ei</v>
      </c>
      <c r="AH6" s="133" t="str" cm="1">
        <f t="array" aca="1" ref="AH6" ca="1" xml:space="preserve"> INDIRECT( ADDRESS( 8 + AH$2, COLUMN($AY:$AY)))</f>
        <v>ao</v>
      </c>
      <c r="AI6" s="133" t="str" cm="1">
        <f t="array" aca="1" ref="AI6" ca="1" xml:space="preserve"> INDIRECT( ADDRESS( 8 + AI$2, COLUMN($AY:$AY)))</f>
        <v>ou</v>
      </c>
      <c r="AJ6" s="133" t="str" cm="1">
        <f t="array" aca="1" ref="AJ6" ca="1" xml:space="preserve"> INDIRECT( ADDRESS( 8 + AJ$2, COLUMN($AY:$AY)))</f>
        <v>an</v>
      </c>
      <c r="AK6" s="133" t="str" cm="1">
        <f t="array" aca="1" ref="AK6" ca="1" xml:space="preserve"> INDIRECT( ADDRESS( 8 + AK$2, COLUMN($AY:$AY)))</f>
        <v>enn</v>
      </c>
      <c r="AL6" s="133" t="str" cm="1">
        <f t="array" aca="1" ref="AL6" ca="1" xml:space="preserve"> INDIRECT( ADDRESS( 8 + AL$2, COLUMN($AY:$AY)))</f>
        <v>ang</v>
      </c>
      <c r="AM6" s="133" t="str" cm="1">
        <f t="array" aca="1" ref="AM6" ca="1" xml:space="preserve"> INDIRECT( ADDRESS( 8 + AM$2, COLUMN($AY:$AY)))</f>
        <v>eng</v>
      </c>
      <c r="AN6" s="133" t="str" cm="1">
        <f t="array" aca="1" ref="AN6" ca="1" xml:space="preserve"> INDIRECT( ADDRESS( 8 + AN$2, COLUMN($AY:$AY)))</f>
        <v>er</v>
      </c>
      <c r="AO6" s="133" t="str" cm="1">
        <f t="array" aca="1" ref="AO6" ca="1" xml:space="preserve"> INDIRECT( ADDRESS( 8 + AO$2, COLUMN($AY:$AY)))</f>
        <v>om</v>
      </c>
      <c r="AP6" s="133" t="str" cm="1">
        <f t="array" aca="1" ref="AP6" ca="1" xml:space="preserve"> INDIRECT( ADDRESS( 8 + AP$2, COLUMN($AY:$AY)))</f>
        <v>ann</v>
      </c>
      <c r="AQ6" s="133" t="str" cm="1">
        <f t="array" aca="1" ref="AQ6" ca="1" xml:space="preserve"> INDIRECT( ADDRESS( 8 + AQ$2, COLUMN($AY:$AY)))</f>
        <v>inn</v>
      </c>
      <c r="AR6" s="133" t="str" cm="1">
        <f t="array" aca="1" ref="AR6" ca="1" xml:space="preserve"> INDIRECT( ADDRESS( 8 + AR$2, COLUMN($AY:$AY)))</f>
        <v>unn</v>
      </c>
      <c r="AS6" s="133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64"/>
      <c r="BJ6" s="364"/>
      <c r="BK6" s="366"/>
      <c r="BL6" s="364"/>
      <c r="BM6" s="364"/>
    </row>
    <row r="7" spans="1:65" s="3" customFormat="1" ht="36" customHeight="1" thickBot="1">
      <c r="A7"/>
      <c r="AV7" s="57"/>
      <c r="AW7"/>
      <c r="AX7"/>
      <c r="AY7"/>
      <c r="AZ7"/>
      <c r="BC7" s="57"/>
      <c r="BD7"/>
      <c r="BE7"/>
      <c r="BI7" s="364"/>
      <c r="BJ7" s="364">
        <f xml:space="preserve"> FIND("/", BI8)</f>
        <v>12</v>
      </c>
      <c r="BK7" s="366"/>
      <c r="BL7" s="364"/>
      <c r="BM7" s="364"/>
    </row>
    <row r="8" spans="1:65" ht="42.75" customHeight="1" thickBot="1">
      <c r="A8" s="3"/>
      <c r="B8" s="3"/>
      <c r="C8" s="2"/>
      <c r="D8" s="324"/>
      <c r="E8" s="320" t="s">
        <v>755</v>
      </c>
      <c r="F8" s="323"/>
      <c r="G8" s="376" t="s">
        <v>0</v>
      </c>
      <c r="H8" s="377"/>
      <c r="I8" s="378"/>
      <c r="J8" s="385" t="s">
        <v>1</v>
      </c>
      <c r="K8" s="386"/>
      <c r="L8" s="387"/>
      <c r="M8" s="385" t="s">
        <v>2</v>
      </c>
      <c r="N8" s="386"/>
      <c r="O8" s="387"/>
      <c r="P8" s="324"/>
      <c r="Q8" s="346" t="s">
        <v>809</v>
      </c>
      <c r="R8" s="323"/>
      <c r="S8" s="385" t="s">
        <v>3</v>
      </c>
      <c r="T8" s="386"/>
      <c r="U8" s="387"/>
      <c r="V8" s="385" t="s">
        <v>4</v>
      </c>
      <c r="W8" s="386"/>
      <c r="X8" s="387"/>
      <c r="Y8" s="325"/>
      <c r="Z8" s="321" t="s">
        <v>757</v>
      </c>
      <c r="AA8" s="326"/>
      <c r="AB8" s="325"/>
      <c r="AC8" s="321" t="s">
        <v>756</v>
      </c>
      <c r="AD8" s="326"/>
      <c r="AE8" s="379" t="s">
        <v>5</v>
      </c>
      <c r="AF8" s="380"/>
      <c r="AG8" s="381"/>
      <c r="AH8" s="373" t="s">
        <v>6</v>
      </c>
      <c r="AI8" s="374"/>
      <c r="AJ8" s="375"/>
      <c r="AK8" s="373" t="s">
        <v>7</v>
      </c>
      <c r="AL8" s="374"/>
      <c r="AM8" s="375"/>
      <c r="AN8" s="2"/>
      <c r="AO8" s="2"/>
      <c r="AP8" s="2"/>
      <c r="AQ8" s="2"/>
      <c r="AR8" s="2"/>
      <c r="AS8" s="2"/>
      <c r="AT8" s="2"/>
      <c r="AU8" s="2"/>
      <c r="AV8" s="337" t="s">
        <v>103</v>
      </c>
      <c r="AW8" s="340" t="s">
        <v>510</v>
      </c>
      <c r="AX8" s="347" t="s">
        <v>326</v>
      </c>
      <c r="AY8" s="338" t="s">
        <v>356</v>
      </c>
      <c r="AZ8" s="348" t="s">
        <v>774</v>
      </c>
      <c r="BC8" s="354" t="s">
        <v>103</v>
      </c>
      <c r="BD8" s="355" t="s">
        <v>774</v>
      </c>
      <c r="BE8" s="356" t="s">
        <v>768</v>
      </c>
      <c r="BF8" s="357" t="s">
        <v>769</v>
      </c>
      <c r="BI8" s="369" t="s">
        <v>801</v>
      </c>
      <c r="BJ8" s="368" t="str">
        <f xml:space="preserve"> MID(BI8, $BJ$7+1, BM8-$BJ$7-1)</f>
        <v>^m(\d)$</v>
      </c>
      <c r="BK8" s="367" t="str">
        <f t="shared" ref="BK8:BK32" si="0">MID(BI8, BM8+1, BL8-BM8-1)</f>
        <v>mu$1</v>
      </c>
      <c r="BL8" s="365">
        <f t="shared" ref="BL8:BL32" si="1">FIND("/",BI8, BM8+1)</f>
        <v>25</v>
      </c>
      <c r="BM8" s="365">
        <f t="shared" ref="BM8:BM32" si="2" xml:space="preserve"> FIND("/", BI8, 13)</f>
        <v>20</v>
      </c>
    </row>
    <row r="9" spans="1:65" ht="42.75" customHeight="1" thickTop="1" thickBot="1">
      <c r="C9" s="4"/>
      <c r="D9" s="50" t="str">
        <f ca="1">D4</f>
        <v>ㄅ</v>
      </c>
      <c r="E9" s="51" t="str">
        <f ca="1">D5</f>
        <v>b</v>
      </c>
      <c r="F9" s="127" t="str">
        <f ca="1">D6</f>
        <v>b</v>
      </c>
      <c r="G9" s="50" t="str">
        <f ca="1">H4</f>
        <v>ㄉ</v>
      </c>
      <c r="H9" s="51"/>
      <c r="I9" s="5" t="s">
        <v>11</v>
      </c>
      <c r="J9" s="389" t="str">
        <f ca="1">AQ4</f>
        <v>ˇ</v>
      </c>
      <c r="K9" s="390"/>
      <c r="L9" s="6" t="s">
        <v>15</v>
      </c>
      <c r="M9" s="391" t="str">
        <f ca="1">AR4</f>
        <v>ˋ</v>
      </c>
      <c r="N9" s="392"/>
      <c r="O9" s="353" t="s">
        <v>890</v>
      </c>
      <c r="P9" s="50" t="str">
        <f ca="1">R4</f>
        <v>ㄓ</v>
      </c>
      <c r="Q9" s="51" t="str">
        <f ca="1">R5</f>
        <v>Z</v>
      </c>
      <c r="R9" s="126" t="str">
        <f ca="1">R6</f>
        <v>zh</v>
      </c>
      <c r="S9" s="391" t="str">
        <f ca="1">AP4</f>
        <v>ˊ</v>
      </c>
      <c r="T9" s="392"/>
      <c r="U9" s="6" t="s">
        <v>19</v>
      </c>
      <c r="V9" s="384" t="str">
        <f ca="1">AS4</f>
        <v>˙</v>
      </c>
      <c r="W9" s="383"/>
      <c r="X9" s="353" t="s">
        <v>891</v>
      </c>
      <c r="Y9" s="327" t="str">
        <f ca="1">AB4</f>
        <v>ㄚ</v>
      </c>
      <c r="Z9" s="55"/>
      <c r="AA9" s="128" t="str">
        <f ca="1">W6</f>
        <v>ch</v>
      </c>
      <c r="AB9" s="327" t="str">
        <f ca="1">AF4</f>
        <v>ㄞ</v>
      </c>
      <c r="AC9" s="55" t="str">
        <f ca="1">AF5</f>
        <v>A</v>
      </c>
      <c r="AD9" s="128" t="str">
        <f ca="1">AF6</f>
        <v>ai</v>
      </c>
      <c r="AE9" s="327" t="str">
        <f ca="1">AJ4</f>
        <v>ㄢ</v>
      </c>
      <c r="AF9" s="55" t="str">
        <f ca="1">AJ6</f>
        <v>an</v>
      </c>
      <c r="AG9" s="128" t="str">
        <f ca="1">AE6</f>
        <v xml:space="preserve">ê </v>
      </c>
      <c r="AH9" s="327" t="str">
        <f ca="1">AN4</f>
        <v>ㄦ</v>
      </c>
      <c r="AI9" s="55" t="str">
        <f ca="1">AN5</f>
        <v>R</v>
      </c>
      <c r="AJ9" s="128" t="str">
        <f ca="1">AN6</f>
        <v>er</v>
      </c>
      <c r="AK9" s="371"/>
      <c r="AL9" s="372"/>
      <c r="AM9" s="8"/>
      <c r="AN9" s="4"/>
      <c r="AO9" s="4"/>
      <c r="AP9" s="4"/>
      <c r="AQ9" s="4"/>
      <c r="AR9" s="2"/>
      <c r="AS9" s="4"/>
      <c r="AT9" s="4"/>
      <c r="AU9" s="4"/>
      <c r="AV9" s="173" cm="1">
        <f t="array" ref="AV9" xml:space="preserve"> ROW() - ROW($8:$8)</f>
        <v>1</v>
      </c>
      <c r="AW9" s="349" t="s">
        <v>168</v>
      </c>
      <c r="AX9" s="350" t="s">
        <v>91</v>
      </c>
      <c r="AY9" s="351" t="s">
        <v>91</v>
      </c>
      <c r="AZ9" s="352" t="s">
        <v>850</v>
      </c>
      <c r="BC9" s="358" cm="1">
        <f t="array" ref="BC9" xml:space="preserve"> ROW() - ROW($8:$8)</f>
        <v>1</v>
      </c>
      <c r="BD9" s="359" t="str">
        <f>表格7_9[[#This Row],[注音符號]]</f>
        <v>ㄅ</v>
      </c>
      <c r="BE9" s="360" t="str">
        <f t="shared" ref="BE9:BE40" si="3" xml:space="preserve"> MID($BC$4,$BC9,1)</f>
        <v>1</v>
      </c>
      <c r="BF9" s="361" t="str">
        <f t="shared" ref="BF9:BF40" si="4" xml:space="preserve"> MID($BC$5,$BC9,1)</f>
        <v>1</v>
      </c>
      <c r="BI9" s="369" t="s">
        <v>802</v>
      </c>
      <c r="BJ9" s="368" t="str">
        <f t="shared" ref="BJ9:BJ32" si="5" xml:space="preserve"> MID(BI9, $BJ$7+1, BM9-$BJ$7-1)</f>
        <v>^r5$</v>
      </c>
      <c r="BK9" s="367" t="str">
        <f t="shared" si="0"/>
        <v>er5</v>
      </c>
      <c r="BL9" s="365">
        <f t="shared" si="1"/>
        <v>21</v>
      </c>
      <c r="BM9" s="365">
        <f t="shared" si="2"/>
        <v>17</v>
      </c>
    </row>
    <row r="10" spans="1:65" s="42" customFormat="1" ht="42.75" customHeight="1">
      <c r="A10" s="3"/>
      <c r="B10" s="3"/>
      <c r="C10" s="2"/>
      <c r="D10" s="2"/>
      <c r="E10" s="376" t="s">
        <v>24</v>
      </c>
      <c r="F10" s="377"/>
      <c r="G10" s="378"/>
      <c r="H10" s="376" t="s">
        <v>25</v>
      </c>
      <c r="I10" s="377"/>
      <c r="J10" s="378"/>
      <c r="K10" s="324"/>
      <c r="L10" s="320" t="s">
        <v>746</v>
      </c>
      <c r="M10" s="323"/>
      <c r="N10" s="376" t="s">
        <v>27</v>
      </c>
      <c r="O10" s="377"/>
      <c r="P10" s="378"/>
      <c r="Q10" s="376" t="s">
        <v>28</v>
      </c>
      <c r="R10" s="377"/>
      <c r="S10" s="378"/>
      <c r="T10" s="324"/>
      <c r="U10" s="320" t="s">
        <v>306</v>
      </c>
      <c r="V10" s="323"/>
      <c r="W10" s="325"/>
      <c r="X10" s="321" t="s">
        <v>616</v>
      </c>
      <c r="Y10" s="326"/>
      <c r="Z10" s="325"/>
      <c r="AA10" s="321" t="s">
        <v>615</v>
      </c>
      <c r="AB10" s="326"/>
      <c r="AC10" s="379" t="s">
        <v>32</v>
      </c>
      <c r="AD10" s="380"/>
      <c r="AE10" s="381"/>
      <c r="AF10" s="379" t="s">
        <v>33</v>
      </c>
      <c r="AG10" s="380"/>
      <c r="AH10" s="381"/>
      <c r="AI10" s="379" t="s">
        <v>34</v>
      </c>
      <c r="AJ10" s="380"/>
      <c r="AK10" s="381"/>
      <c r="AL10" s="379" t="s">
        <v>35</v>
      </c>
      <c r="AM10" s="380"/>
      <c r="AN10" s="381"/>
      <c r="AO10" s="373" t="s">
        <v>36</v>
      </c>
      <c r="AP10" s="374"/>
      <c r="AQ10" s="375"/>
      <c r="AR10" s="2"/>
      <c r="AV10" s="173" cm="1">
        <f t="array" ref="AV10" xml:space="preserve"> ROW() - ROW($8:$8)</f>
        <v>2</v>
      </c>
      <c r="AW10" s="349" t="s">
        <v>164</v>
      </c>
      <c r="AX10" s="350" t="s">
        <v>9</v>
      </c>
      <c r="AY10" s="351" t="s">
        <v>9</v>
      </c>
      <c r="AZ10" s="352" t="s">
        <v>851</v>
      </c>
      <c r="BC10" s="358" cm="1">
        <f t="array" ref="BC10" xml:space="preserve"> ROW() - ROW($8:$8)</f>
        <v>2</v>
      </c>
      <c r="BD10" s="359" t="str">
        <f>表格7_9[[#This Row],[注音符號]]</f>
        <v>ㄆ</v>
      </c>
      <c r="BE10" s="360" t="str">
        <f t="shared" si="3"/>
        <v>q</v>
      </c>
      <c r="BF10" s="361" t="str">
        <f t="shared" si="4"/>
        <v>q</v>
      </c>
      <c r="BI10" s="369" t="s">
        <v>778</v>
      </c>
      <c r="BJ10" s="368" t="str">
        <f t="shared" si="5"/>
        <v>iu</v>
      </c>
      <c r="BK10" s="367" t="str">
        <f t="shared" si="0"/>
        <v>iou</v>
      </c>
      <c r="BL10" s="365">
        <f t="shared" si="1"/>
        <v>19</v>
      </c>
      <c r="BM10" s="365">
        <f t="shared" si="2"/>
        <v>15</v>
      </c>
    </row>
    <row r="11" spans="1:65" s="11" customFormat="1" ht="42.75" customHeight="1" thickBot="1">
      <c r="A11"/>
      <c r="B11"/>
      <c r="C11" s="4"/>
      <c r="D11" s="4"/>
      <c r="E11" s="50" t="str">
        <f ca="1">E4</f>
        <v>ㄆ</v>
      </c>
      <c r="F11" s="51" t="str">
        <f ca="1">E5</f>
        <v>p</v>
      </c>
      <c r="G11" s="126" t="str">
        <f ca="1">E6</f>
        <v>p</v>
      </c>
      <c r="H11" s="50" t="str">
        <f ca="1">I4</f>
        <v>ㄊ</v>
      </c>
      <c r="I11" s="51" t="str">
        <f ca="1">I5</f>
        <v>t</v>
      </c>
      <c r="J11" s="5" t="s">
        <v>40</v>
      </c>
      <c r="K11" s="50" t="str">
        <f ca="1">L4</f>
        <v>ㄍ</v>
      </c>
      <c r="L11" s="51" t="str">
        <f ca="1">L5</f>
        <v>g</v>
      </c>
      <c r="M11" s="127" t="str">
        <f ca="1">L6</f>
        <v>g</v>
      </c>
      <c r="N11" s="317" t="str">
        <f ca="1">O4</f>
        <v>ㄐ</v>
      </c>
      <c r="O11" s="51" t="str">
        <f ca="1">O5</f>
        <v>j</v>
      </c>
      <c r="P11" s="126" t="str">
        <f ca="1">O6</f>
        <v>j</v>
      </c>
      <c r="Q11" s="50" t="str">
        <f ca="1">S4</f>
        <v>ㄔ</v>
      </c>
      <c r="R11" s="51" t="str">
        <f ca="1">S5</f>
        <v>C</v>
      </c>
      <c r="S11" s="126" t="str">
        <f ca="1">S6</f>
        <v>ch</v>
      </c>
      <c r="T11" s="328" t="str">
        <f ca="1">V4</f>
        <v>ㄗ</v>
      </c>
      <c r="U11" s="51" t="str">
        <f ca="1">V5</f>
        <v>z</v>
      </c>
      <c r="V11" s="127" t="str">
        <f ca="1">V6</f>
        <v>z</v>
      </c>
      <c r="W11" s="327" t="str">
        <f ca="1">Y4</f>
        <v>ㄧ</v>
      </c>
      <c r="X11" s="55" t="str">
        <f ca="1">Y5</f>
        <v>i</v>
      </c>
      <c r="Y11" s="128" t="str">
        <f ca="1">Y6</f>
        <v>i</v>
      </c>
      <c r="Z11" s="327" t="str">
        <f ca="1">AC4</f>
        <v>ㄛ</v>
      </c>
      <c r="AA11" s="55" t="str">
        <f ca="1">AC5</f>
        <v>o</v>
      </c>
      <c r="AB11" s="129" t="str">
        <f ca="1">AC6</f>
        <v>o</v>
      </c>
      <c r="AC11" s="327" t="str">
        <f ca="1">AG4</f>
        <v>ㄟ</v>
      </c>
      <c r="AD11" s="55" t="str">
        <f ca="1">AG5</f>
        <v>I</v>
      </c>
      <c r="AE11" s="130" t="str">
        <f ca="1">AG6</f>
        <v>ei</v>
      </c>
      <c r="AF11" s="327" t="str">
        <f ca="1">AK4</f>
        <v>ㄣ</v>
      </c>
      <c r="AG11" s="55" t="str">
        <f ca="1">AK5</f>
        <v>N</v>
      </c>
      <c r="AH11" s="128" t="str">
        <f ca="1">AK6</f>
        <v>enn</v>
      </c>
      <c r="AI11" s="371"/>
      <c r="AJ11" s="372"/>
      <c r="AK11" s="8"/>
      <c r="AL11" s="371"/>
      <c r="AM11" s="372"/>
      <c r="AN11" s="8"/>
      <c r="AO11" s="371"/>
      <c r="AP11" s="372"/>
      <c r="AQ11" s="8"/>
      <c r="AR11" s="2"/>
      <c r="AV11" s="173" cm="1">
        <f t="array" ref="AV11" xml:space="preserve"> ROW() - ROW($8:$8)</f>
        <v>3</v>
      </c>
      <c r="AW11" s="349" t="s">
        <v>21</v>
      </c>
      <c r="AX11" s="350" t="s">
        <v>66</v>
      </c>
      <c r="AY11" s="351" t="s">
        <v>66</v>
      </c>
      <c r="AZ11" s="352" t="s">
        <v>852</v>
      </c>
      <c r="BC11" s="358" cm="1">
        <f t="array" ref="BC11" xml:space="preserve"> ROW() - ROW($8:$8)</f>
        <v>3</v>
      </c>
      <c r="BD11" s="359" t="str">
        <f>表格7_9[[#This Row],[注音符號]]</f>
        <v>ㄇ</v>
      </c>
      <c r="BE11" s="360" t="str">
        <f t="shared" si="3"/>
        <v>a</v>
      </c>
      <c r="BF11" s="361" t="str">
        <f t="shared" si="4"/>
        <v>a</v>
      </c>
      <c r="BI11" s="369" t="s">
        <v>779</v>
      </c>
      <c r="BJ11" s="368" t="str">
        <f t="shared" si="5"/>
        <v>ui</v>
      </c>
      <c r="BK11" s="367" t="str">
        <f t="shared" si="0"/>
        <v>uei</v>
      </c>
      <c r="BL11" s="365">
        <f t="shared" si="1"/>
        <v>19</v>
      </c>
      <c r="BM11" s="365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376" t="s">
        <v>307</v>
      </c>
      <c r="G12" s="377"/>
      <c r="H12" s="378"/>
      <c r="I12" s="376" t="s">
        <v>56</v>
      </c>
      <c r="J12" s="377"/>
      <c r="K12" s="378"/>
      <c r="L12" s="376" t="s">
        <v>57</v>
      </c>
      <c r="M12" s="377"/>
      <c r="N12" s="378"/>
      <c r="O12" s="376" t="s">
        <v>58</v>
      </c>
      <c r="P12" s="377"/>
      <c r="Q12" s="378"/>
      <c r="R12" s="376" t="s">
        <v>59</v>
      </c>
      <c r="S12" s="377"/>
      <c r="T12" s="378"/>
      <c r="U12" s="376" t="s">
        <v>60</v>
      </c>
      <c r="V12" s="377"/>
      <c r="W12" s="378"/>
      <c r="X12" s="325"/>
      <c r="Y12" s="321" t="s">
        <v>742</v>
      </c>
      <c r="Z12" s="326"/>
      <c r="AA12" s="379" t="s">
        <v>62</v>
      </c>
      <c r="AB12" s="380"/>
      <c r="AC12" s="381"/>
      <c r="AD12" s="325"/>
      <c r="AE12" s="321" t="s">
        <v>724</v>
      </c>
      <c r="AF12" s="326"/>
      <c r="AG12" s="379" t="s">
        <v>64</v>
      </c>
      <c r="AH12" s="380"/>
      <c r="AI12" s="381"/>
      <c r="AJ12" s="373" t="s">
        <v>65</v>
      </c>
      <c r="AK12" s="374"/>
      <c r="AL12" s="375"/>
      <c r="AM12" s="2"/>
      <c r="AN12" s="2"/>
      <c r="AO12" s="2"/>
      <c r="AP12" s="2"/>
      <c r="AQ12" s="2"/>
      <c r="AR12" s="2"/>
      <c r="AS12" s="2"/>
      <c r="AT12" s="2"/>
      <c r="AU12" s="2"/>
      <c r="AV12" s="173" cm="1">
        <f t="array" ref="AV12" xml:space="preserve"> ROW() - ROW($8:$8)</f>
        <v>4</v>
      </c>
      <c r="AW12" s="349" t="s">
        <v>165</v>
      </c>
      <c r="AX12" s="350" t="s">
        <v>173</v>
      </c>
      <c r="AY12" s="351" t="s">
        <v>173</v>
      </c>
      <c r="AZ12" s="352" t="s">
        <v>853</v>
      </c>
      <c r="BC12" s="358" cm="1">
        <f t="array" ref="BC12" xml:space="preserve"> ROW() - ROW($8:$8)</f>
        <v>4</v>
      </c>
      <c r="BD12" s="359" t="str">
        <f>表格7_9[[#This Row],[注音符號]]</f>
        <v>ㄈ</v>
      </c>
      <c r="BE12" s="360" t="str">
        <f t="shared" si="3"/>
        <v>z</v>
      </c>
      <c r="BF12" s="361" t="str">
        <f t="shared" si="4"/>
        <v>z</v>
      </c>
      <c r="BI12" s="369" t="s">
        <v>780</v>
      </c>
      <c r="BJ12" s="368" t="str">
        <f t="shared" si="5"/>
        <v>ong</v>
      </c>
      <c r="BK12" s="367" t="str">
        <f t="shared" si="0"/>
        <v>ung</v>
      </c>
      <c r="BL12" s="365">
        <f t="shared" si="1"/>
        <v>20</v>
      </c>
      <c r="BM12" s="365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50" t="str">
        <f ca="1">F4</f>
        <v>ㄇ</v>
      </c>
      <c r="G13" s="51" t="str">
        <f ca="1">F5</f>
        <v>m</v>
      </c>
      <c r="H13" s="126" t="str">
        <f ca="1">F6</f>
        <v>m</v>
      </c>
      <c r="I13" s="50" t="str">
        <f ca="1">J4</f>
        <v>ㄋ</v>
      </c>
      <c r="J13" s="51" t="str">
        <f ca="1">J5</f>
        <v>n</v>
      </c>
      <c r="K13" s="5" t="s">
        <v>68</v>
      </c>
      <c r="L13" s="50" t="str">
        <f ca="1">M4</f>
        <v>ㄎ</v>
      </c>
      <c r="M13" s="51" t="str">
        <f ca="1">M5</f>
        <v>k</v>
      </c>
      <c r="N13" s="126" t="str">
        <f ca="1">M6</f>
        <v>k</v>
      </c>
      <c r="O13" s="317" t="str">
        <f ca="1">P4</f>
        <v>ㄑ</v>
      </c>
      <c r="P13" s="51" t="str">
        <f ca="1">P5</f>
        <v>q</v>
      </c>
      <c r="Q13" s="126" t="str">
        <f ca="1">P6</f>
        <v>q</v>
      </c>
      <c r="R13" s="125" t="str">
        <f ca="1">T4</f>
        <v>ㄕ</v>
      </c>
      <c r="S13" s="51" t="str">
        <f ca="1">T5</f>
        <v>S</v>
      </c>
      <c r="T13" s="126" t="str">
        <f ca="1">T6</f>
        <v>sh</v>
      </c>
      <c r="U13" s="328" t="str">
        <f ca="1">W4</f>
        <v>ㄘ</v>
      </c>
      <c r="V13" s="51" t="str">
        <f ca="1">W5</f>
        <v>c</v>
      </c>
      <c r="W13" s="126" t="str">
        <f ca="1">W6</f>
        <v>ch</v>
      </c>
      <c r="X13" s="327" t="str">
        <f ca="1">Z4</f>
        <v>ㄨ</v>
      </c>
      <c r="Y13" s="55" t="str">
        <f ca="1">Z5</f>
        <v>u</v>
      </c>
      <c r="Z13" s="128" t="str">
        <f ca="1">Z6</f>
        <v>u</v>
      </c>
      <c r="AA13" s="327" t="str">
        <f ca="1">AD4</f>
        <v>ㄜ</v>
      </c>
      <c r="AB13" s="55" t="str">
        <f ca="1">AD5</f>
        <v>e</v>
      </c>
      <c r="AC13" s="129" t="str">
        <f ca="1">AD6</f>
        <v>e</v>
      </c>
      <c r="AD13" s="327" t="str">
        <f ca="1">AH4</f>
        <v>ㄠ</v>
      </c>
      <c r="AE13" s="55" t="str">
        <f ca="1">AH5</f>
        <v>O</v>
      </c>
      <c r="AF13" s="128" t="str">
        <f ca="1">AH6</f>
        <v>ao</v>
      </c>
      <c r="AG13" s="327" t="str">
        <f ca="1">AL4</f>
        <v>ㄤ</v>
      </c>
      <c r="AH13" s="55" t="str">
        <f ca="1">AL5</f>
        <v>K</v>
      </c>
      <c r="AI13" s="128" t="str">
        <f ca="1">AL6</f>
        <v>ang</v>
      </c>
      <c r="AJ13" s="371"/>
      <c r="AK13" s="372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173" cm="1">
        <f t="array" ref="AV13" xml:space="preserve"> ROW() - ROW($8:$8)</f>
        <v>5</v>
      </c>
      <c r="AW13" s="349" t="s">
        <v>169</v>
      </c>
      <c r="AX13" s="350" t="s">
        <v>163</v>
      </c>
      <c r="AY13" s="351" t="s">
        <v>163</v>
      </c>
      <c r="AZ13" s="352" t="s">
        <v>854</v>
      </c>
      <c r="BC13" s="358" cm="1">
        <f t="array" ref="BC13" xml:space="preserve"> ROW() - ROW($8:$8)</f>
        <v>5</v>
      </c>
      <c r="BD13" s="359" t="str">
        <f>表格7_9[[#This Row],[注音符號]]</f>
        <v>ㄉ</v>
      </c>
      <c r="BE13" s="360" t="str">
        <f t="shared" si="3"/>
        <v>2</v>
      </c>
      <c r="BF13" s="361" t="str">
        <f t="shared" si="4"/>
        <v>2</v>
      </c>
      <c r="BI13" s="369" t="s">
        <v>781</v>
      </c>
      <c r="BJ13" s="368" t="str">
        <f t="shared" si="5"/>
        <v>^yi?</v>
      </c>
      <c r="BK13" s="367" t="str">
        <f t="shared" si="0"/>
        <v>i</v>
      </c>
      <c r="BL13" s="365">
        <f t="shared" si="1"/>
        <v>19</v>
      </c>
      <c r="BM13" s="365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376" t="s">
        <v>303</v>
      </c>
      <c r="H14" s="377"/>
      <c r="I14" s="378"/>
      <c r="J14" s="376" t="s">
        <v>82</v>
      </c>
      <c r="K14" s="377"/>
      <c r="L14" s="378"/>
      <c r="M14" s="376" t="s">
        <v>83</v>
      </c>
      <c r="N14" s="377"/>
      <c r="O14" s="378"/>
      <c r="P14" s="376" t="s">
        <v>84</v>
      </c>
      <c r="Q14" s="377"/>
      <c r="R14" s="378"/>
      <c r="S14" s="376" t="s">
        <v>85</v>
      </c>
      <c r="T14" s="377"/>
      <c r="U14" s="378"/>
      <c r="V14" s="376" t="s">
        <v>86</v>
      </c>
      <c r="W14" s="377"/>
      <c r="X14" s="378"/>
      <c r="Y14" s="379" t="s">
        <v>87</v>
      </c>
      <c r="Z14" s="380"/>
      <c r="AA14" s="381"/>
      <c r="AB14" s="325"/>
      <c r="AC14" s="321" t="s">
        <v>758</v>
      </c>
      <c r="AD14" s="326"/>
      <c r="AE14" s="379" t="s">
        <v>88</v>
      </c>
      <c r="AF14" s="380"/>
      <c r="AG14" s="381"/>
      <c r="AH14" s="373" t="s">
        <v>89</v>
      </c>
      <c r="AI14" s="374"/>
      <c r="AJ14" s="375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73" cm="1">
        <f t="array" ref="AV14" xml:space="preserve"> ROW() - ROW($8:$8)</f>
        <v>6</v>
      </c>
      <c r="AW14" s="349" t="s">
        <v>170</v>
      </c>
      <c r="AX14" s="350" t="s">
        <v>11</v>
      </c>
      <c r="AY14" s="351" t="s">
        <v>11</v>
      </c>
      <c r="AZ14" s="352" t="s">
        <v>855</v>
      </c>
      <c r="BC14" s="358" cm="1">
        <f t="array" ref="BC14" xml:space="preserve"> ROW() - ROW($8:$8)</f>
        <v>6</v>
      </c>
      <c r="BD14" s="359" t="str">
        <f>表格7_9[[#This Row],[注音符號]]</f>
        <v>ㄊ</v>
      </c>
      <c r="BE14" s="360" t="str">
        <f t="shared" si="3"/>
        <v>w</v>
      </c>
      <c r="BF14" s="361" t="str">
        <f t="shared" si="4"/>
        <v>w</v>
      </c>
      <c r="BI14" s="369" t="s">
        <v>782</v>
      </c>
      <c r="BJ14" s="368" t="str">
        <f t="shared" si="5"/>
        <v>^wu?</v>
      </c>
      <c r="BK14" s="367" t="str">
        <f t="shared" si="0"/>
        <v>u</v>
      </c>
      <c r="BL14" s="365">
        <f t="shared" si="1"/>
        <v>19</v>
      </c>
      <c r="BM14" s="365">
        <f t="shared" si="2"/>
        <v>17</v>
      </c>
    </row>
    <row r="15" spans="1:65" ht="42.75" customHeight="1" thickBot="1">
      <c r="C15" s="4"/>
      <c r="D15" s="4"/>
      <c r="E15" s="4"/>
      <c r="F15" s="4"/>
      <c r="G15" s="50" t="str">
        <f ca="1">G4</f>
        <v>ㄈ</v>
      </c>
      <c r="H15" s="51" t="str">
        <f ca="1">G5</f>
        <v>f</v>
      </c>
      <c r="I15" s="126" t="str">
        <f ca="1">G6</f>
        <v>f</v>
      </c>
      <c r="J15" s="50" t="str">
        <f ca="1">K4</f>
        <v>ㄌ</v>
      </c>
      <c r="K15" s="51" t="str">
        <f ca="1">K5</f>
        <v>l</v>
      </c>
      <c r="L15" s="5" t="s">
        <v>93</v>
      </c>
      <c r="M15" s="50" t="str">
        <f ca="1">N4</f>
        <v>ㄏ</v>
      </c>
      <c r="N15" s="51" t="str">
        <f ca="1">N5</f>
        <v>h</v>
      </c>
      <c r="O15" s="126" t="str">
        <f ca="1">N6</f>
        <v>h</v>
      </c>
      <c r="P15" s="317" t="str">
        <f ca="1">Q4</f>
        <v>ㄒ</v>
      </c>
      <c r="Q15" s="51" t="str">
        <f ca="1">Q5</f>
        <v>x</v>
      </c>
      <c r="R15" s="126" t="str">
        <f ca="1">Q6</f>
        <v>x</v>
      </c>
      <c r="S15" s="50" t="str">
        <f ca="1">U4</f>
        <v>ㄖ</v>
      </c>
      <c r="T15" s="51" t="str">
        <f ca="1">U5</f>
        <v>r</v>
      </c>
      <c r="U15" s="126" t="str">
        <f ca="1">U6</f>
        <v>r</v>
      </c>
      <c r="V15" s="328" t="str">
        <f ca="1">X4</f>
        <v>ㄙ</v>
      </c>
      <c r="W15" s="51" t="str">
        <f ca="1">X5</f>
        <v>s</v>
      </c>
      <c r="X15" s="126" t="str">
        <f ca="1">X6</f>
        <v>s</v>
      </c>
      <c r="Y15" s="327" t="str">
        <f ca="1">AA4</f>
        <v>ㄩ</v>
      </c>
      <c r="Z15" s="55" t="str">
        <f ca="1">AA5</f>
        <v>v</v>
      </c>
      <c r="AA15" s="129" t="str">
        <f ca="1">AA6</f>
        <v xml:space="preserve">ü </v>
      </c>
      <c r="AB15" s="327" t="str">
        <f ca="1">AF4</f>
        <v>ㄞ</v>
      </c>
      <c r="AC15" s="55" t="str">
        <f ca="1">AE5</f>
        <v>E</v>
      </c>
      <c r="AD15" s="128" t="str">
        <f ca="1">AE6</f>
        <v xml:space="preserve">ê </v>
      </c>
      <c r="AE15" s="56" t="str">
        <f ca="1">AI4</f>
        <v>ㄡ</v>
      </c>
      <c r="AF15" s="55" t="str">
        <f ca="1">AI5</f>
        <v>U</v>
      </c>
      <c r="AG15" s="129" t="str">
        <f ca="1">AI6</f>
        <v>ou</v>
      </c>
      <c r="AH15" s="327" t="str">
        <f ca="1">AM4</f>
        <v>ㄥ</v>
      </c>
      <c r="AI15" s="55" t="str">
        <f ca="1">AM5</f>
        <v>G</v>
      </c>
      <c r="AJ15" s="136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73" cm="1">
        <f t="array" ref="AV15" xml:space="preserve"> ROW() - ROW($8:$8)</f>
        <v>7</v>
      </c>
      <c r="AW15" s="349" t="s">
        <v>99</v>
      </c>
      <c r="AX15" s="350" t="s">
        <v>68</v>
      </c>
      <c r="AY15" s="351" t="s">
        <v>68</v>
      </c>
      <c r="AZ15" s="352" t="s">
        <v>856</v>
      </c>
      <c r="BC15" s="358" cm="1">
        <f t="array" ref="BC15" xml:space="preserve"> ROW() - ROW($8:$8)</f>
        <v>7</v>
      </c>
      <c r="BD15" s="359" t="str">
        <f>表格7_9[[#This Row],[注音符號]]</f>
        <v>ㄋ</v>
      </c>
      <c r="BE15" s="360" t="str">
        <f t="shared" si="3"/>
        <v>s</v>
      </c>
      <c r="BF15" s="361" t="str">
        <f t="shared" si="4"/>
        <v>s</v>
      </c>
      <c r="BI15" s="369" t="s">
        <v>783</v>
      </c>
      <c r="BJ15" s="368" t="str">
        <f t="shared" si="5"/>
        <v>iu</v>
      </c>
      <c r="BK15" s="367" t="str">
        <f t="shared" si="0"/>
        <v>v</v>
      </c>
      <c r="BL15" s="365">
        <f t="shared" si="1"/>
        <v>17</v>
      </c>
      <c r="BM15" s="365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73" cm="1">
        <f t="array" ref="AV16" xml:space="preserve"> ROW() - ROW($8:$8)</f>
        <v>8</v>
      </c>
      <c r="AW16" s="349" t="s">
        <v>171</v>
      </c>
      <c r="AX16" s="350" t="s">
        <v>93</v>
      </c>
      <c r="AY16" s="351" t="s">
        <v>93</v>
      </c>
      <c r="AZ16" s="352" t="s">
        <v>857</v>
      </c>
      <c r="BC16" s="358" cm="1">
        <f t="array" ref="BC16" xml:space="preserve"> ROW() - ROW($8:$8)</f>
        <v>8</v>
      </c>
      <c r="BD16" s="359" t="str">
        <f>表格7_9[[#This Row],[注音符號]]</f>
        <v>ㄌ</v>
      </c>
      <c r="BE16" s="360" t="str">
        <f t="shared" si="3"/>
        <v>x</v>
      </c>
      <c r="BF16" s="361" t="str">
        <f t="shared" si="4"/>
        <v>x</v>
      </c>
      <c r="BI16" s="369" t="s">
        <v>784</v>
      </c>
      <c r="BJ16" s="368" t="str">
        <f t="shared" si="5"/>
        <v>^([jqx])u</v>
      </c>
      <c r="BK16" s="367" t="str">
        <f t="shared" si="0"/>
        <v>$1v</v>
      </c>
      <c r="BL16" s="365">
        <f t="shared" si="1"/>
        <v>26</v>
      </c>
      <c r="BM16" s="365">
        <f t="shared" si="2"/>
        <v>22</v>
      </c>
    </row>
    <row r="17" spans="1:65" s="12" customFormat="1" ht="38.1" customHeight="1">
      <c r="B17" s="140" t="s">
        <v>359</v>
      </c>
      <c r="AV17" s="173" cm="1">
        <f t="array" ref="AV17" xml:space="preserve"> ROW() - ROW($8:$8)</f>
        <v>9</v>
      </c>
      <c r="AW17" s="349" t="s">
        <v>53</v>
      </c>
      <c r="AX17" s="350" t="s">
        <v>45</v>
      </c>
      <c r="AY17" s="351" t="s">
        <v>45</v>
      </c>
      <c r="AZ17" s="352" t="s">
        <v>858</v>
      </c>
      <c r="BC17" s="358" cm="1">
        <f t="array" ref="BC17" xml:space="preserve"> ROW() - ROW($8:$8)</f>
        <v>9</v>
      </c>
      <c r="BD17" s="359" t="str">
        <f>表格7_9[[#This Row],[注音符號]]</f>
        <v>ㄍ</v>
      </c>
      <c r="BE17" s="360" t="str">
        <f t="shared" si="3"/>
        <v>e</v>
      </c>
      <c r="BF17" s="361" t="str">
        <f t="shared" si="4"/>
        <v>e</v>
      </c>
      <c r="BI17" s="369" t="s">
        <v>785</v>
      </c>
      <c r="BJ17" s="368" t="str">
        <f t="shared" si="5"/>
        <v>([iuv])n</v>
      </c>
      <c r="BK17" s="367" t="str">
        <f t="shared" si="0"/>
        <v>$1en</v>
      </c>
      <c r="BL17" s="365">
        <f t="shared" si="1"/>
        <v>26</v>
      </c>
      <c r="BM17" s="365">
        <f t="shared" si="2"/>
        <v>21</v>
      </c>
    </row>
    <row r="18" spans="1:65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173" cm="1">
        <f t="array" ref="AV18" xml:space="preserve"> ROW() - ROW($8:$8)</f>
        <v>10</v>
      </c>
      <c r="AW18" s="349" t="s">
        <v>163</v>
      </c>
      <c r="AX18" s="350" t="s">
        <v>42</v>
      </c>
      <c r="AY18" s="351" t="s">
        <v>42</v>
      </c>
      <c r="AZ18" s="352" t="s">
        <v>859</v>
      </c>
      <c r="BC18" s="358" cm="1">
        <f t="array" ref="BC18" xml:space="preserve"> ROW() - ROW($8:$8)</f>
        <v>10</v>
      </c>
      <c r="BD18" s="359" t="str">
        <f>表格7_9[[#This Row],[注音符號]]</f>
        <v>ㄎ</v>
      </c>
      <c r="BE18" s="360" t="str">
        <f t="shared" si="3"/>
        <v>d</v>
      </c>
      <c r="BF18" s="361" t="str">
        <f t="shared" si="4"/>
        <v>d</v>
      </c>
      <c r="BI18" s="369" t="s">
        <v>786</v>
      </c>
      <c r="BJ18" s="368" t="str">
        <f t="shared" si="5"/>
        <v>^zhi?</v>
      </c>
      <c r="BK18" s="367" t="str">
        <f t="shared" si="0"/>
        <v>Z</v>
      </c>
      <c r="BL18" s="365">
        <f t="shared" si="1"/>
        <v>20</v>
      </c>
      <c r="BM18" s="365">
        <f t="shared" si="2"/>
        <v>18</v>
      </c>
    </row>
    <row r="19" spans="1:65" s="12" customFormat="1" ht="38.1" customHeight="1">
      <c r="B19" s="63" t="str">
        <f>B5</f>
        <v>字典編碼</v>
      </c>
      <c r="C19" s="177">
        <f ca="1" xml:space="preserve"> LEN(D19)</f>
        <v>42</v>
      </c>
      <c r="D19" s="64" t="str">
        <f ca="1" xml:space="preserve"> _xlfn.CONCAT(D5:AS5)</f>
        <v>bpmfdtnlgkhjqxZCSrzcsiuvaoeEAIOUMNKGR12345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173" cm="1">
        <f t="array" ref="AV19" xml:space="preserve"> ROW() - ROW($8:$8)</f>
        <v>11</v>
      </c>
      <c r="AW19" s="349" t="s">
        <v>166</v>
      </c>
      <c r="AX19" s="350" t="s">
        <v>95</v>
      </c>
      <c r="AY19" s="351" t="s">
        <v>95</v>
      </c>
      <c r="AZ19" s="352" t="s">
        <v>860</v>
      </c>
      <c r="BC19" s="358" cm="1">
        <f t="array" ref="BC19" xml:space="preserve"> ROW() - ROW($8:$8)</f>
        <v>11</v>
      </c>
      <c r="BD19" s="359" t="str">
        <f>表格7_9[[#This Row],[注音符號]]</f>
        <v>ㄏ</v>
      </c>
      <c r="BE19" s="360" t="str">
        <f t="shared" si="3"/>
        <v>c</v>
      </c>
      <c r="BF19" s="361" t="str">
        <f t="shared" si="4"/>
        <v>c</v>
      </c>
      <c r="BI19" s="369" t="s">
        <v>787</v>
      </c>
      <c r="BJ19" s="368" t="str">
        <f t="shared" si="5"/>
        <v>^chi?</v>
      </c>
      <c r="BK19" s="367" t="str">
        <f t="shared" si="0"/>
        <v>C</v>
      </c>
      <c r="BL19" s="365">
        <f t="shared" si="1"/>
        <v>20</v>
      </c>
      <c r="BM19" s="365">
        <f t="shared" si="2"/>
        <v>18</v>
      </c>
    </row>
    <row r="20" spans="1:65" s="12" customFormat="1" ht="38.1" customHeight="1">
      <c r="B20" s="70" t="str">
        <f>B3</f>
        <v>鍵盤位置</v>
      </c>
      <c r="C20" s="176">
        <f>LEN(D20)</f>
        <v>42</v>
      </c>
      <c r="D20" s="72" t="str">
        <f xml:space="preserve"> _xlfn.CONCAT(D3:AU3)</f>
        <v>1qaz2wsxedcrfv5tgbyhnujm8ik,9ol.0p;/- 6347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173" cm="1">
        <f t="array" ref="AV20" xml:space="preserve"> ROW() - ROW($8:$8)</f>
        <v>12</v>
      </c>
      <c r="AW20" s="349" t="s">
        <v>172</v>
      </c>
      <c r="AX20" s="350" t="s">
        <v>97</v>
      </c>
      <c r="AY20" s="351" t="s">
        <v>97</v>
      </c>
      <c r="AZ20" s="352" t="s">
        <v>861</v>
      </c>
      <c r="BC20" s="358" cm="1">
        <f t="array" ref="BC20" xml:space="preserve"> ROW() - ROW($8:$8)</f>
        <v>12</v>
      </c>
      <c r="BD20" s="359" t="str">
        <f>表格7_9[[#This Row],[注音符號]]</f>
        <v>ㄐ</v>
      </c>
      <c r="BE20" s="360" t="str">
        <f t="shared" si="3"/>
        <v>r</v>
      </c>
      <c r="BF20" s="361" t="str">
        <f t="shared" si="4"/>
        <v>r</v>
      </c>
      <c r="BI20" s="369" t="s">
        <v>788</v>
      </c>
      <c r="BJ20" s="368" t="str">
        <f t="shared" si="5"/>
        <v>^shi?</v>
      </c>
      <c r="BK20" s="367" t="str">
        <f t="shared" si="0"/>
        <v>S</v>
      </c>
      <c r="BL20" s="365">
        <f t="shared" si="1"/>
        <v>20</v>
      </c>
      <c r="BM20" s="365">
        <f t="shared" si="2"/>
        <v>18</v>
      </c>
    </row>
    <row r="21" spans="1:65" s="12" customFormat="1" ht="38.1" customHeight="1">
      <c r="B21" s="139" t="str">
        <f ca="1" xml:space="preserve"> "- xlit|" &amp; D19 &amp; "|" &amp; D20 &amp; "|"</f>
        <v>- xlit|bpmfdtnlgkhjqxZCSrzcsiuvaoeEAIOUMNKGR12345|1qaz2wsxedcrfv5tgbyhnujm8ik,9ol.0p;/- 6347|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173" cm="1">
        <f t="array" ref="AV21" xml:space="preserve"> ROW() - ROW($8:$8)</f>
        <v>13</v>
      </c>
      <c r="AW21" s="349" t="s">
        <v>173</v>
      </c>
      <c r="AX21" s="350" t="s">
        <v>164</v>
      </c>
      <c r="AY21" s="351" t="s">
        <v>164</v>
      </c>
      <c r="AZ21" s="352" t="s">
        <v>862</v>
      </c>
      <c r="BC21" s="358" cm="1">
        <f t="array" ref="BC21" xml:space="preserve"> ROW() - ROW($8:$8)</f>
        <v>13</v>
      </c>
      <c r="BD21" s="359" t="str">
        <f>表格7_9[[#This Row],[注音符號]]</f>
        <v>ㄑ</v>
      </c>
      <c r="BE21" s="360" t="str">
        <f t="shared" si="3"/>
        <v>f</v>
      </c>
      <c r="BF21" s="361" t="str">
        <f t="shared" si="4"/>
        <v>f</v>
      </c>
      <c r="BI21" s="369" t="s">
        <v>789</v>
      </c>
      <c r="BJ21" s="368" t="str">
        <f t="shared" si="5"/>
        <v>^([zcsr])i</v>
      </c>
      <c r="BK21" s="367" t="str">
        <f t="shared" si="0"/>
        <v>$1</v>
      </c>
      <c r="BL21" s="365">
        <f t="shared" si="1"/>
        <v>26</v>
      </c>
      <c r="BM21" s="365">
        <f t="shared" si="2"/>
        <v>23</v>
      </c>
    </row>
    <row r="22" spans="1:65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173" cm="1">
        <f t="array" ref="AV22" xml:space="preserve"> ROW() - ROW($8:$8)</f>
        <v>14</v>
      </c>
      <c r="AW22" s="349" t="s">
        <v>174</v>
      </c>
      <c r="AX22" s="350" t="s">
        <v>171</v>
      </c>
      <c r="AY22" s="351" t="s">
        <v>171</v>
      </c>
      <c r="AZ22" s="352" t="s">
        <v>863</v>
      </c>
      <c r="BC22" s="358" cm="1">
        <f t="array" ref="BC22" xml:space="preserve"> ROW() - ROW($8:$8)</f>
        <v>14</v>
      </c>
      <c r="BD22" s="359" t="str">
        <f>表格7_9[[#This Row],[注音符號]]</f>
        <v>ㄒ</v>
      </c>
      <c r="BE22" s="360" t="str">
        <f t="shared" si="3"/>
        <v>v</v>
      </c>
      <c r="BF22" s="361" t="str">
        <f t="shared" si="4"/>
        <v>v</v>
      </c>
      <c r="BI22" s="369" t="s">
        <v>790</v>
      </c>
      <c r="BJ22" s="368" t="str">
        <f t="shared" si="5"/>
        <v>ai</v>
      </c>
      <c r="BK22" s="367" t="str">
        <f t="shared" si="0"/>
        <v>A</v>
      </c>
      <c r="BL22" s="365">
        <f t="shared" si="1"/>
        <v>17</v>
      </c>
      <c r="BM22" s="365">
        <f t="shared" si="2"/>
        <v>15</v>
      </c>
    </row>
    <row r="23" spans="1:65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173" cm="1">
        <f t="array" ref="AV23" xml:space="preserve"> ROW() - ROW($8:$8)</f>
        <v>15</v>
      </c>
      <c r="AW23" s="349" t="s">
        <v>189</v>
      </c>
      <c r="AX23" s="350" t="s">
        <v>804</v>
      </c>
      <c r="AY23" s="351" t="s">
        <v>810</v>
      </c>
      <c r="AZ23" s="352" t="s">
        <v>864</v>
      </c>
      <c r="BC23" s="358" cm="1">
        <f t="array" ref="BC23" xml:space="preserve"> ROW() - ROW($8:$8)</f>
        <v>15</v>
      </c>
      <c r="BD23" s="359" t="str">
        <f>表格7_9[[#This Row],[注音符號]]</f>
        <v>ㄓ</v>
      </c>
      <c r="BE23" s="360" t="str">
        <f t="shared" si="3"/>
        <v>5</v>
      </c>
      <c r="BF23" s="361" t="str">
        <f t="shared" si="4"/>
        <v>5</v>
      </c>
      <c r="BI23" s="369" t="s">
        <v>791</v>
      </c>
      <c r="BJ23" s="368" t="str">
        <f t="shared" si="5"/>
        <v>ei</v>
      </c>
      <c r="BK23" s="367" t="str">
        <f t="shared" si="0"/>
        <v>I</v>
      </c>
      <c r="BL23" s="365">
        <f t="shared" si="1"/>
        <v>17</v>
      </c>
      <c r="BM23" s="365">
        <f t="shared" si="2"/>
        <v>15</v>
      </c>
    </row>
    <row r="24" spans="1:65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173" cm="1">
        <f t="array" ref="AV24" xml:space="preserve"> ROW() - ROW($8:$8)</f>
        <v>16</v>
      </c>
      <c r="AW24" s="349" t="s">
        <v>11</v>
      </c>
      <c r="AX24" s="350" t="s">
        <v>83</v>
      </c>
      <c r="AY24" s="351" t="s">
        <v>805</v>
      </c>
      <c r="AZ24" s="352" t="s">
        <v>865</v>
      </c>
      <c r="BC24" s="358" cm="1">
        <f t="array" ref="BC24" xml:space="preserve"> ROW() - ROW($8:$8)</f>
        <v>16</v>
      </c>
      <c r="BD24" s="359" t="str">
        <f>表格7_9[[#This Row],[注音符號]]</f>
        <v>ㄔ</v>
      </c>
      <c r="BE24" s="360" t="str">
        <f t="shared" si="3"/>
        <v>t</v>
      </c>
      <c r="BF24" s="361" t="str">
        <f t="shared" si="4"/>
        <v>t</v>
      </c>
      <c r="BI24" s="369" t="s">
        <v>792</v>
      </c>
      <c r="BJ24" s="368" t="str">
        <f t="shared" si="5"/>
        <v>ao</v>
      </c>
      <c r="BK24" s="367" t="str">
        <f t="shared" si="0"/>
        <v>O</v>
      </c>
      <c r="BL24" s="365">
        <f t="shared" si="1"/>
        <v>17</v>
      </c>
      <c r="BM24" s="365">
        <f t="shared" si="2"/>
        <v>15</v>
      </c>
    </row>
    <row r="25" spans="1:65" ht="38.1" customHeight="1">
      <c r="A25" s="12"/>
      <c r="B25" s="73" t="str">
        <f>B3</f>
        <v>鍵盤位置</v>
      </c>
      <c r="C25" s="178">
        <f xml:space="preserve"> LEN(D25)</f>
        <v>42</v>
      </c>
      <c r="D25" s="71" t="str">
        <f xml:space="preserve"> _xlfn.CONCAT(D3:AS3)</f>
        <v>1qaz2wsxedcrfv5tgbyhnujm8ik,9ol.0p;/- 6347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173" cm="1">
        <f t="array" ref="AV25" xml:space="preserve"> ROW() - ROW($8:$8)</f>
        <v>17</v>
      </c>
      <c r="AW25" s="349" t="s">
        <v>45</v>
      </c>
      <c r="AX25" s="350" t="s">
        <v>56</v>
      </c>
      <c r="AY25" s="351" t="s">
        <v>812</v>
      </c>
      <c r="AZ25" s="352" t="s">
        <v>866</v>
      </c>
      <c r="BC25" s="358" cm="1">
        <f t="array" ref="BC25" xml:space="preserve"> ROW() - ROW($8:$8)</f>
        <v>17</v>
      </c>
      <c r="BD25" s="359" t="str">
        <f>表格7_9[[#This Row],[注音符號]]</f>
        <v>ㄕ</v>
      </c>
      <c r="BE25" s="360" t="str">
        <f t="shared" si="3"/>
        <v>g</v>
      </c>
      <c r="BF25" s="361" t="str">
        <f t="shared" si="4"/>
        <v>g</v>
      </c>
      <c r="BI25" s="369" t="s">
        <v>793</v>
      </c>
      <c r="BJ25" s="368" t="str">
        <f t="shared" si="5"/>
        <v>ou</v>
      </c>
      <c r="BK25" s="367" t="str">
        <f t="shared" si="0"/>
        <v>U</v>
      </c>
      <c r="BL25" s="365">
        <f t="shared" si="1"/>
        <v>17</v>
      </c>
      <c r="BM25" s="365">
        <f t="shared" si="2"/>
        <v>15</v>
      </c>
    </row>
    <row r="26" spans="1:65" ht="38.1" customHeight="1">
      <c r="B26" s="65" t="str">
        <f>B4</f>
        <v>注音符號</v>
      </c>
      <c r="C26" s="179">
        <f ca="1">LEN(D26)</f>
        <v>42</v>
      </c>
      <c r="D26" s="65" t="str">
        <f ca="1" xml:space="preserve"> _xlfn.CONCAT(D4:AS4)</f>
        <v>ㄅㄆㄇㄈㄉㄊㄋㄌㄍㄎㄏㄐㄑㄒㄓㄔㄕㄖㄗㄘㄙㄧㄨㄩㄚㄛㄜㄝㄞㄟㄠㄡㄢㄣㄤㄥㄦˉˊˇˋ˙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173" cm="1">
        <f t="array" ref="AV26" xml:space="preserve"> ROW() - ROW($8:$8)</f>
        <v>18</v>
      </c>
      <c r="AW26" s="349" t="s">
        <v>91</v>
      </c>
      <c r="AX26" s="350" t="s">
        <v>172</v>
      </c>
      <c r="AY26" s="351" t="s">
        <v>172</v>
      </c>
      <c r="AZ26" s="352" t="s">
        <v>867</v>
      </c>
      <c r="BC26" s="358" cm="1">
        <f t="array" ref="BC26" xml:space="preserve"> ROW() - ROW($8:$8)</f>
        <v>18</v>
      </c>
      <c r="BD26" s="359" t="str">
        <f>表格7_9[[#This Row],[注音符號]]</f>
        <v>ㄖ</v>
      </c>
      <c r="BE26" s="360" t="str">
        <f t="shared" si="3"/>
        <v>b</v>
      </c>
      <c r="BF26" s="361" t="str">
        <f t="shared" si="4"/>
        <v>b</v>
      </c>
      <c r="BI26" s="369" t="s">
        <v>794</v>
      </c>
      <c r="BJ26" s="368" t="str">
        <f t="shared" si="5"/>
        <v>ang</v>
      </c>
      <c r="BK26" s="367" t="str">
        <f t="shared" si="0"/>
        <v>K</v>
      </c>
      <c r="BL26" s="365">
        <f t="shared" si="1"/>
        <v>18</v>
      </c>
      <c r="BM26" s="365">
        <f t="shared" si="2"/>
        <v>16</v>
      </c>
    </row>
    <row r="27" spans="1:65" ht="38.1" customHeight="1">
      <c r="B27" s="139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173" cm="1">
        <f t="array" ref="AV27" xml:space="preserve"> ROW() - ROW($8:$8)</f>
        <v>19</v>
      </c>
      <c r="AW27" s="349" t="s">
        <v>175</v>
      </c>
      <c r="AX27" s="350" t="s">
        <v>165</v>
      </c>
      <c r="AY27" s="351" t="s">
        <v>165</v>
      </c>
      <c r="AZ27" s="352" t="s">
        <v>868</v>
      </c>
      <c r="BC27" s="358" cm="1">
        <f t="array" ref="BC27" xml:space="preserve"> ROW() - ROW($8:$8)</f>
        <v>19</v>
      </c>
      <c r="BD27" s="359" t="str">
        <f>表格7_9[[#This Row],[注音符號]]</f>
        <v>ㄗ</v>
      </c>
      <c r="BE27" s="360" t="str">
        <f t="shared" si="3"/>
        <v>y</v>
      </c>
      <c r="BF27" s="361" t="str">
        <f t="shared" si="4"/>
        <v>y</v>
      </c>
      <c r="BI27" s="369" t="s">
        <v>795</v>
      </c>
      <c r="BJ27" s="368" t="str">
        <f t="shared" si="5"/>
        <v>eng</v>
      </c>
      <c r="BK27" s="367" t="str">
        <f t="shared" si="0"/>
        <v>G</v>
      </c>
      <c r="BL27" s="365">
        <f t="shared" si="1"/>
        <v>18</v>
      </c>
      <c r="BM27" s="365">
        <f t="shared" si="2"/>
        <v>16</v>
      </c>
    </row>
    <row r="28" spans="1:65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173" cm="1">
        <f t="array" ref="AV28" xml:space="preserve"> ROW() - ROW($8:$8)</f>
        <v>20</v>
      </c>
      <c r="AW28" s="349" t="s">
        <v>95</v>
      </c>
      <c r="AX28" s="350" t="s">
        <v>166</v>
      </c>
      <c r="AY28" s="351" t="s">
        <v>805</v>
      </c>
      <c r="AZ28" s="352" t="s">
        <v>869</v>
      </c>
      <c r="BC28" s="358" cm="1">
        <f t="array" ref="BC28" xml:space="preserve"> ROW() - ROW($8:$8)</f>
        <v>20</v>
      </c>
      <c r="BD28" s="359" t="str">
        <f>表格7_9[[#This Row],[注音符號]]</f>
        <v>ㄘ</v>
      </c>
      <c r="BE28" s="360" t="str">
        <f t="shared" si="3"/>
        <v>h</v>
      </c>
      <c r="BF28" s="361" t="str">
        <f t="shared" si="4"/>
        <v>h</v>
      </c>
      <c r="BI28" s="369" t="s">
        <v>796</v>
      </c>
      <c r="BJ28" s="368" t="str">
        <f t="shared" si="5"/>
        <v>an</v>
      </c>
      <c r="BK28" s="367" t="str">
        <f t="shared" si="0"/>
        <v>M</v>
      </c>
      <c r="BL28" s="365">
        <f t="shared" si="1"/>
        <v>17</v>
      </c>
      <c r="BM28" s="365">
        <f t="shared" si="2"/>
        <v>15</v>
      </c>
    </row>
    <row r="29" spans="1:65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173" cm="1">
        <f t="array" ref="AV29" xml:space="preserve"> ROW() - ROW($8:$8)</f>
        <v>21</v>
      </c>
      <c r="AW29" s="349" t="s">
        <v>68</v>
      </c>
      <c r="AX29" s="350" t="s">
        <v>99</v>
      </c>
      <c r="AY29" s="351" t="s">
        <v>99</v>
      </c>
      <c r="AZ29" s="352" t="s">
        <v>870</v>
      </c>
      <c r="BC29" s="358" cm="1">
        <f t="array" ref="BC29" xml:space="preserve"> ROW() - ROW($8:$8)</f>
        <v>21</v>
      </c>
      <c r="BD29" s="359" t="str">
        <f>表格7_9[[#This Row],[注音符號]]</f>
        <v>ㄙ</v>
      </c>
      <c r="BE29" s="360" t="str">
        <f t="shared" si="3"/>
        <v>n</v>
      </c>
      <c r="BF29" s="361" t="str">
        <f t="shared" si="4"/>
        <v>n</v>
      </c>
      <c r="BI29" s="369" t="s">
        <v>797</v>
      </c>
      <c r="BJ29" s="368" t="str">
        <f t="shared" si="5"/>
        <v>en</v>
      </c>
      <c r="BK29" s="367" t="str">
        <f t="shared" si="0"/>
        <v>N</v>
      </c>
      <c r="BL29" s="365">
        <f t="shared" si="1"/>
        <v>17</v>
      </c>
      <c r="BM29" s="365">
        <f t="shared" si="2"/>
        <v>15</v>
      </c>
    </row>
    <row r="30" spans="1:65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173" cm="1">
        <f t="array" ref="AV30" xml:space="preserve"> ROW() - ROW($8:$8)</f>
        <v>22</v>
      </c>
      <c r="AW30" s="349" t="s">
        <v>77</v>
      </c>
      <c r="AX30" s="350" t="s">
        <v>49</v>
      </c>
      <c r="AY30" s="351" t="s">
        <v>49</v>
      </c>
      <c r="AZ30" s="352" t="s">
        <v>871</v>
      </c>
      <c r="BC30" s="358" cm="1">
        <f t="array" ref="BC30" xml:space="preserve"> ROW() - ROW($8:$8)</f>
        <v>22</v>
      </c>
      <c r="BD30" s="359" t="str">
        <f>表格7_9[[#This Row],[注音符號]]</f>
        <v>ㄧ</v>
      </c>
      <c r="BE30" s="360" t="str">
        <f t="shared" si="3"/>
        <v>u</v>
      </c>
      <c r="BF30" s="361" t="str">
        <f t="shared" si="4"/>
        <v>u</v>
      </c>
      <c r="BI30" s="369" t="s">
        <v>798</v>
      </c>
      <c r="BJ30" s="368" t="str">
        <f t="shared" si="5"/>
        <v>er</v>
      </c>
      <c r="BK30" s="367" t="str">
        <f t="shared" si="0"/>
        <v>R</v>
      </c>
      <c r="BL30" s="365">
        <f t="shared" si="1"/>
        <v>17</v>
      </c>
      <c r="BM30" s="365">
        <f t="shared" si="2"/>
        <v>15</v>
      </c>
    </row>
    <row r="31" spans="1:65" ht="38.1" customHeight="1">
      <c r="B31" s="73" t="str">
        <f>B5</f>
        <v>字典編碼</v>
      </c>
      <c r="C31" s="178">
        <f ca="1" xml:space="preserve"> LEN(D31)</f>
        <v>42</v>
      </c>
      <c r="D31" s="71" t="str">
        <f ca="1" xml:space="preserve"> _xlfn.CONCAT(D5:AS5)</f>
        <v>bpmfdtnlgkhjqxZCSrzcsiuvaoeEAIOUMNKGR12345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173" cm="1">
        <f t="array" ref="AV31" xml:space="preserve"> ROW() - ROW($8:$8)</f>
        <v>23</v>
      </c>
      <c r="AW31" s="349" t="s">
        <v>97</v>
      </c>
      <c r="AX31" s="350" t="s">
        <v>77</v>
      </c>
      <c r="AY31" s="351" t="s">
        <v>77</v>
      </c>
      <c r="AZ31" s="352" t="s">
        <v>872</v>
      </c>
      <c r="BC31" s="358" cm="1">
        <f t="array" ref="BC31" xml:space="preserve"> ROW() - ROW($8:$8)</f>
        <v>23</v>
      </c>
      <c r="BD31" s="359" t="str">
        <f>表格7_9[[#This Row],[注音符號]]</f>
        <v>ㄨ</v>
      </c>
      <c r="BE31" s="360" t="str">
        <f t="shared" si="3"/>
        <v>j</v>
      </c>
      <c r="BF31" s="361" t="str">
        <f t="shared" si="4"/>
        <v>j</v>
      </c>
      <c r="BI31" s="369" t="s">
        <v>799</v>
      </c>
      <c r="BJ31" s="368" t="str">
        <f t="shared" si="5"/>
        <v>eh</v>
      </c>
      <c r="BK31" s="367" t="str">
        <f t="shared" si="0"/>
        <v>E</v>
      </c>
      <c r="BL31" s="365">
        <f t="shared" si="1"/>
        <v>17</v>
      </c>
      <c r="BM31" s="365">
        <f t="shared" si="2"/>
        <v>15</v>
      </c>
    </row>
    <row r="32" spans="1:65" s="12" customFormat="1" ht="38.1" customHeight="1">
      <c r="A32"/>
      <c r="B32" s="65" t="str">
        <f>B4</f>
        <v>注音符號</v>
      </c>
      <c r="C32" s="179">
        <f ca="1">LEN(D32)</f>
        <v>42</v>
      </c>
      <c r="D32" s="65" t="str">
        <f ca="1" xml:space="preserve"> _xlfn.CONCAT(D4:AS4)</f>
        <v>ㄅㄆㄇㄈㄉㄊㄋㄌㄍㄎㄏㄐㄑㄒㄓㄔㄕㄖㄗㄘㄙㄧㄨㄩㄚㄛㄜㄝㄞㄟㄠㄡㄢㄣㄤㄥㄦˉˊˇˋ˙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173" cm="1">
        <f t="array" ref="AV32" xml:space="preserve"> ROW() - ROW($8:$8)</f>
        <v>24</v>
      </c>
      <c r="AW32" s="349" t="s">
        <v>66</v>
      </c>
      <c r="AX32" s="350" t="s">
        <v>174</v>
      </c>
      <c r="AY32" s="351" t="s">
        <v>836</v>
      </c>
      <c r="AZ32" s="352" t="s">
        <v>873</v>
      </c>
      <c r="BC32" s="358" cm="1">
        <f t="array" ref="BC32" xml:space="preserve"> ROW() - ROW($8:$8)</f>
        <v>24</v>
      </c>
      <c r="BD32" s="359" t="str">
        <f>表格7_9[[#This Row],[注音符號]]</f>
        <v>ㄩ</v>
      </c>
      <c r="BE32" s="360" t="str">
        <f t="shared" si="3"/>
        <v>m</v>
      </c>
      <c r="BF32" s="361" t="str">
        <f t="shared" si="4"/>
        <v>m</v>
      </c>
      <c r="BI32" s="369" t="s">
        <v>800</v>
      </c>
      <c r="BJ32" s="368" t="str">
        <f t="shared" si="5"/>
        <v>([iv])e</v>
      </c>
      <c r="BK32" s="367" t="str">
        <f t="shared" si="0"/>
        <v>$1E</v>
      </c>
      <c r="BL32" s="365">
        <f t="shared" si="1"/>
        <v>24</v>
      </c>
      <c r="BM32" s="365">
        <f t="shared" si="2"/>
        <v>20</v>
      </c>
    </row>
    <row r="33" spans="1:65" s="12" customFormat="1" ht="38.1" customHeight="1">
      <c r="B33" s="139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173" cm="1">
        <f t="array" ref="AV33" xml:space="preserve"> ROW() - ROW($8:$8)</f>
        <v>25</v>
      </c>
      <c r="AW33" s="349" t="s">
        <v>176</v>
      </c>
      <c r="AX33" s="350" t="s">
        <v>21</v>
      </c>
      <c r="AY33" s="351" t="s">
        <v>21</v>
      </c>
      <c r="AZ33" s="352" t="s">
        <v>874</v>
      </c>
      <c r="BC33" s="358" cm="1">
        <f t="array" ref="BC33" xml:space="preserve"> ROW() - ROW($8:$8)</f>
        <v>25</v>
      </c>
      <c r="BD33" s="359" t="str">
        <f>表格7_9[[#This Row],[注音符號]]</f>
        <v>ㄚ</v>
      </c>
      <c r="BE33" s="360" t="str">
        <f t="shared" si="3"/>
        <v>8</v>
      </c>
      <c r="BF33" s="361" t="str">
        <f t="shared" si="4"/>
        <v>8</v>
      </c>
      <c r="BI33" s="364"/>
      <c r="BJ33" s="364"/>
      <c r="BK33" s="366"/>
      <c r="BL33" s="364"/>
      <c r="BM33" s="364"/>
    </row>
    <row r="34" spans="1:65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173" cm="1">
        <f t="array" ref="AV34" xml:space="preserve"> ROW() - ROW($8:$8)</f>
        <v>26</v>
      </c>
      <c r="AW34" s="349" t="s">
        <v>49</v>
      </c>
      <c r="AX34" s="350" t="s">
        <v>79</v>
      </c>
      <c r="AY34" s="351" t="s">
        <v>79</v>
      </c>
      <c r="AZ34" s="352" t="s">
        <v>875</v>
      </c>
      <c r="BC34" s="358" cm="1">
        <f t="array" ref="BC34" xml:space="preserve"> ROW() - ROW($8:$8)</f>
        <v>26</v>
      </c>
      <c r="BD34" s="359" t="str">
        <f>表格7_9[[#This Row],[注音符號]]</f>
        <v>ㄛ</v>
      </c>
      <c r="BE34" s="360" t="str">
        <f t="shared" si="3"/>
        <v>i</v>
      </c>
      <c r="BF34" s="361" t="str">
        <f t="shared" si="4"/>
        <v>i</v>
      </c>
      <c r="BI34" s="364"/>
      <c r="BJ34" s="364"/>
      <c r="BK34" s="366"/>
      <c r="BL34" s="364"/>
      <c r="BM34" s="364"/>
    </row>
    <row r="35" spans="1:65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173" cm="1">
        <f t="array" ref="AV35" xml:space="preserve"> ROW() - ROW($8:$8)</f>
        <v>27</v>
      </c>
      <c r="AW35" s="349" t="s">
        <v>42</v>
      </c>
      <c r="AX35" s="350" t="s">
        <v>53</v>
      </c>
      <c r="AY35" s="351" t="s">
        <v>53</v>
      </c>
      <c r="AZ35" s="352" t="s">
        <v>876</v>
      </c>
      <c r="BC35" s="358" cm="1">
        <f t="array" ref="BC35" xml:space="preserve"> ROW() - ROW($8:$8)</f>
        <v>27</v>
      </c>
      <c r="BD35" s="359" t="str">
        <f>表格7_9[[#This Row],[注音符號]]</f>
        <v>ㄜ</v>
      </c>
      <c r="BE35" s="360" t="str">
        <f t="shared" si="3"/>
        <v>k</v>
      </c>
      <c r="BF35" s="361" t="str">
        <f t="shared" si="4"/>
        <v>k</v>
      </c>
      <c r="BI35" s="364"/>
      <c r="BJ35" s="364"/>
      <c r="BK35" s="366"/>
      <c r="BL35" s="364"/>
      <c r="BM35" s="364"/>
    </row>
    <row r="36" spans="1:65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173" cm="1">
        <f t="array" ref="AV36" xml:space="preserve"> ROW() - ROW($8:$8)</f>
        <v>28</v>
      </c>
      <c r="AW36" s="349" t="s">
        <v>180</v>
      </c>
      <c r="AX36" s="350" t="s">
        <v>26</v>
      </c>
      <c r="AY36" s="351" t="s">
        <v>838</v>
      </c>
      <c r="AZ36" s="352" t="s">
        <v>877</v>
      </c>
      <c r="BC36" s="358" cm="1">
        <f t="array" ref="BC36" xml:space="preserve"> ROW() - ROW($8:$8)</f>
        <v>28</v>
      </c>
      <c r="BD36" s="359" t="str">
        <f>表格7_9[[#This Row],[注音符號]]</f>
        <v>ㄝ</v>
      </c>
      <c r="BE36" s="360" t="str">
        <f t="shared" si="3"/>
        <v>,</v>
      </c>
      <c r="BF36" s="361" t="str">
        <f t="shared" si="4"/>
        <v>,</v>
      </c>
      <c r="BI36" s="364"/>
      <c r="BJ36" s="364"/>
      <c r="BK36" s="366"/>
      <c r="BL36" s="364"/>
      <c r="BM36" s="364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173" cm="1">
        <f t="array" ref="AV37" xml:space="preserve"> ROW() - ROW($8:$8)</f>
        <v>29</v>
      </c>
      <c r="AW37" s="349" t="s">
        <v>178</v>
      </c>
      <c r="AX37" s="350" t="s">
        <v>806</v>
      </c>
      <c r="AY37" s="351" t="s">
        <v>469</v>
      </c>
      <c r="AZ37" s="352" t="s">
        <v>878</v>
      </c>
      <c r="BC37" s="358" cm="1">
        <f t="array" ref="BC37" xml:space="preserve"> ROW() - ROW($8:$8)</f>
        <v>29</v>
      </c>
      <c r="BD37" s="359" t="str">
        <f>表格7_9[[#This Row],[注音符號]]</f>
        <v>ㄞ</v>
      </c>
      <c r="BE37" s="360" t="str">
        <f t="shared" si="3"/>
        <v>9</v>
      </c>
      <c r="BF37" s="361" t="str">
        <f t="shared" si="4"/>
        <v>9</v>
      </c>
      <c r="BI37" s="364"/>
      <c r="BJ37" s="364"/>
      <c r="BK37" s="366"/>
      <c r="BL37" s="364"/>
      <c r="BM37" s="364"/>
    </row>
    <row r="38" spans="1:65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173" cm="1">
        <f t="array" ref="AV38" xml:space="preserve"> ROW() - ROW($8:$8)</f>
        <v>30</v>
      </c>
      <c r="AW38" s="349" t="s">
        <v>79</v>
      </c>
      <c r="AX38" s="350" t="s">
        <v>31</v>
      </c>
      <c r="AY38" s="351" t="s">
        <v>814</v>
      </c>
      <c r="AZ38" s="352" t="s">
        <v>879</v>
      </c>
      <c r="BC38" s="358" cm="1">
        <f t="array" ref="BC38" xml:space="preserve"> ROW() - ROW($8:$8)</f>
        <v>30</v>
      </c>
      <c r="BD38" s="359" t="str">
        <f>表格7_9[[#This Row],[注音符號]]</f>
        <v>ㄟ</v>
      </c>
      <c r="BE38" s="360" t="str">
        <f t="shared" si="3"/>
        <v>o</v>
      </c>
      <c r="BF38" s="361" t="str">
        <f t="shared" si="4"/>
        <v>o</v>
      </c>
      <c r="BI38" s="364"/>
      <c r="BJ38" s="364"/>
      <c r="BK38" s="366"/>
      <c r="BL38" s="364"/>
      <c r="BM38" s="364"/>
    </row>
    <row r="39" spans="1:65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173" cm="1">
        <f t="array" ref="AV39" xml:space="preserve"> ROW() - ROW($8:$8)</f>
        <v>31</v>
      </c>
      <c r="AW39" s="349" t="s">
        <v>93</v>
      </c>
      <c r="AX39" s="350" t="s">
        <v>32</v>
      </c>
      <c r="AY39" s="351" t="s">
        <v>816</v>
      </c>
      <c r="AZ39" s="352" t="s">
        <v>880</v>
      </c>
      <c r="BC39" s="358" cm="1">
        <f t="array" ref="BC39" xml:space="preserve"> ROW() - ROW($8:$8)</f>
        <v>31</v>
      </c>
      <c r="BD39" s="359" t="str">
        <f>表格7_9[[#This Row],[注音符號]]</f>
        <v>ㄠ</v>
      </c>
      <c r="BE39" s="360" t="str">
        <f t="shared" si="3"/>
        <v>l</v>
      </c>
      <c r="BF39" s="361" t="str">
        <f t="shared" si="4"/>
        <v>l</v>
      </c>
      <c r="BI39" s="364"/>
      <c r="BJ39" s="364"/>
      <c r="BK39" s="366"/>
      <c r="BL39" s="364"/>
      <c r="BM39" s="364"/>
    </row>
    <row r="40" spans="1:65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173" cm="1">
        <f t="array" ref="AV40" xml:space="preserve"> ROW() - ROW($8:$8)</f>
        <v>32</v>
      </c>
      <c r="AW40" s="349" t="s">
        <v>675</v>
      </c>
      <c r="AX40" s="350" t="s">
        <v>30</v>
      </c>
      <c r="AY40" s="351" t="s">
        <v>833</v>
      </c>
      <c r="AZ40" s="352" t="s">
        <v>881</v>
      </c>
      <c r="BC40" s="358" cm="1">
        <f t="array" ref="BC40" xml:space="preserve"> ROW() - ROW($8:$8)</f>
        <v>32</v>
      </c>
      <c r="BD40" s="359" t="str">
        <f>表格7_9[[#This Row],[注音符號]]</f>
        <v>ㄡ</v>
      </c>
      <c r="BE40" s="360" t="str">
        <f t="shared" si="3"/>
        <v>.</v>
      </c>
      <c r="BF40" s="361" t="str">
        <f t="shared" si="4"/>
        <v>.</v>
      </c>
      <c r="BI40" s="364"/>
      <c r="BJ40" s="364"/>
      <c r="BK40" s="366"/>
      <c r="BL40" s="364"/>
      <c r="BM40" s="364"/>
    </row>
    <row r="41" spans="1:65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173" cm="1">
        <f t="array" ref="AV41" xml:space="preserve"> ROW() - ROW($8:$8)</f>
        <v>33</v>
      </c>
      <c r="AW41" s="349" t="s">
        <v>182</v>
      </c>
      <c r="AX41" s="350" t="s">
        <v>87</v>
      </c>
      <c r="AY41" s="351" t="s">
        <v>606</v>
      </c>
      <c r="AZ41" s="352" t="s">
        <v>882</v>
      </c>
      <c r="BC41" s="358" cm="1">
        <f t="array" ref="BC41" xml:space="preserve"> ROW() - ROW($8:$8)</f>
        <v>33</v>
      </c>
      <c r="BD41" s="359" t="str">
        <f>表格7_9[[#This Row],[注音符號]]</f>
        <v>ㄢ</v>
      </c>
      <c r="BE41" s="360" t="str">
        <f t="shared" ref="BE41:BE58" si="6" xml:space="preserve"> MID($BC$4,$BC41,1)</f>
        <v>0</v>
      </c>
      <c r="BF41" s="361" t="str">
        <f t="shared" ref="BF41:BF58" si="7" xml:space="preserve"> MID($BC$5,$BC41,1)</f>
        <v>0</v>
      </c>
    </row>
    <row r="42" spans="1:65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173" cm="1">
        <f t="array" ref="AV42" xml:space="preserve"> ROW() - ROW($8:$8)</f>
        <v>34</v>
      </c>
      <c r="AW42" s="349" t="s">
        <v>9</v>
      </c>
      <c r="AX42" s="350" t="s">
        <v>86</v>
      </c>
      <c r="AY42" s="351" t="s">
        <v>311</v>
      </c>
      <c r="AZ42" s="352" t="s">
        <v>883</v>
      </c>
      <c r="BC42" s="358" cm="1">
        <f t="array" ref="BC42" xml:space="preserve"> ROW() - ROW($8:$8)</f>
        <v>34</v>
      </c>
      <c r="BD42" s="359" t="str">
        <f>表格7_9[[#This Row],[注音符號]]</f>
        <v>ㄣ</v>
      </c>
      <c r="BE42" s="360" t="str">
        <f t="shared" si="6"/>
        <v>p</v>
      </c>
      <c r="BF42" s="361" t="str">
        <f t="shared" si="7"/>
        <v>p</v>
      </c>
    </row>
    <row r="43" spans="1:65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173" cm="1">
        <f t="array" ref="AV43" xml:space="preserve"> ROW() - ROW($8:$8)</f>
        <v>35</v>
      </c>
      <c r="AW43" s="349" t="s">
        <v>183</v>
      </c>
      <c r="AX43" s="350" t="s">
        <v>62</v>
      </c>
      <c r="AY43" s="351" t="s">
        <v>609</v>
      </c>
      <c r="AZ43" s="352" t="s">
        <v>884</v>
      </c>
      <c r="BC43" s="358" cm="1">
        <f t="array" ref="BC43" xml:space="preserve"> ROW() - ROW($8:$8)</f>
        <v>35</v>
      </c>
      <c r="BD43" s="359" t="str">
        <f>表格7_9[[#This Row],[注音符號]]</f>
        <v>ㄤ</v>
      </c>
      <c r="BE43" s="360" t="str">
        <f t="shared" si="6"/>
        <v>;</v>
      </c>
      <c r="BF43" s="361" t="str">
        <f t="shared" si="7"/>
        <v>;</v>
      </c>
    </row>
    <row r="44" spans="1:65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173" cm="1">
        <f t="array" ref="AV44" xml:space="preserve"> ROW() - ROW($8:$8)</f>
        <v>36</v>
      </c>
      <c r="AW44" s="349" t="s">
        <v>184</v>
      </c>
      <c r="AX44" s="350" t="s">
        <v>59</v>
      </c>
      <c r="AY44" s="351" t="s">
        <v>828</v>
      </c>
      <c r="AZ44" s="352" t="s">
        <v>885</v>
      </c>
      <c r="BC44" s="358" cm="1">
        <f t="array" ref="BC44" xml:space="preserve"> ROW() - ROW($8:$8)</f>
        <v>36</v>
      </c>
      <c r="BD44" s="359" t="str">
        <f>表格7_9[[#This Row],[注音符號]]</f>
        <v>ㄥ</v>
      </c>
      <c r="BE44" s="360" t="str">
        <f t="shared" si="6"/>
        <v>/</v>
      </c>
      <c r="BF44" s="361" t="str">
        <f t="shared" si="7"/>
        <v>/</v>
      </c>
    </row>
    <row r="45" spans="1:65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173" cm="1">
        <f t="array" ref="AV45" xml:space="preserve"> ROW() - ROW($8:$8)</f>
        <v>37</v>
      </c>
      <c r="AW45" s="349" t="s">
        <v>185</v>
      </c>
      <c r="AX45" s="350" t="s">
        <v>27</v>
      </c>
      <c r="AY45" s="351" t="s">
        <v>824</v>
      </c>
      <c r="AZ45" s="352" t="s">
        <v>886</v>
      </c>
      <c r="BC45" s="358" cm="1">
        <f t="array" ref="BC45" xml:space="preserve"> ROW() - ROW($8:$8)</f>
        <v>37</v>
      </c>
      <c r="BD45" s="359" t="str">
        <f>表格7_9[[#This Row],[注音符號]]</f>
        <v>ㄦ</v>
      </c>
      <c r="BE45" s="360" t="str">
        <f t="shared" si="6"/>
        <v>-</v>
      </c>
      <c r="BF45" s="361" t="str">
        <f t="shared" si="7"/>
        <v>-</v>
      </c>
    </row>
    <row r="46" spans="1:65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173" cm="1">
        <f t="array" ref="AV46" xml:space="preserve"> ROW() - ROW($8:$8)</f>
        <v>38</v>
      </c>
      <c r="AW46" s="349" t="s">
        <v>118</v>
      </c>
      <c r="AX46" s="350" t="s">
        <v>168</v>
      </c>
      <c r="AY46" s="351" t="s">
        <v>603</v>
      </c>
      <c r="AZ46" s="352" t="s">
        <v>887</v>
      </c>
      <c r="BC46" s="358" cm="1">
        <f t="array" ref="BC46" xml:space="preserve"> ROW() - ROW($8:$8)</f>
        <v>38</v>
      </c>
      <c r="BD46" s="359" t="str">
        <f>表格7_9[[#This Row],[注音符號]]</f>
        <v>ˉ</v>
      </c>
      <c r="BE46" s="360" t="str">
        <f t="shared" si="6"/>
        <v xml:space="preserve"> </v>
      </c>
      <c r="BF46" s="361" t="str">
        <f t="shared" si="7"/>
        <v/>
      </c>
    </row>
    <row r="47" spans="1:65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173" cm="1">
        <f t="array" ref="AV47" xml:space="preserve"> ROW() - ROW($8:$8)</f>
        <v>39</v>
      </c>
      <c r="AW47" s="349" t="s">
        <v>188</v>
      </c>
      <c r="AX47" s="350" t="s">
        <v>169</v>
      </c>
      <c r="AY47" s="351" t="s">
        <v>309</v>
      </c>
      <c r="AZ47" s="352" t="s">
        <v>888</v>
      </c>
      <c r="BC47" s="358" cm="1">
        <f t="array" ref="BC47" xml:space="preserve"> ROW() - ROW($8:$8)</f>
        <v>39</v>
      </c>
      <c r="BD47" s="359" t="str">
        <f>表格7_9[[#This Row],[注音符號]]</f>
        <v>ˊ</v>
      </c>
      <c r="BE47" s="360" t="str">
        <f t="shared" si="6"/>
        <v>6</v>
      </c>
      <c r="BF47" s="361" t="str">
        <f t="shared" si="7"/>
        <v/>
      </c>
    </row>
    <row r="48" spans="1:65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173" cm="1">
        <f t="array" ref="AV48" xml:space="preserve"> ROW() - ROW($8:$8)</f>
        <v>40</v>
      </c>
      <c r="AW48" s="349" t="s">
        <v>187</v>
      </c>
      <c r="AX48" s="350" t="s">
        <v>187</v>
      </c>
      <c r="AY48" s="351" t="s">
        <v>312</v>
      </c>
      <c r="AZ48" s="352" t="s">
        <v>808</v>
      </c>
      <c r="BC48" s="358" cm="1">
        <f t="array" ref="BC48" xml:space="preserve"> ROW() - ROW($8:$8)</f>
        <v>40</v>
      </c>
      <c r="BD48" s="359" t="str">
        <f>表格7_9[[#This Row],[注音符號]]</f>
        <v>ˇ</v>
      </c>
      <c r="BE48" s="360" t="str">
        <f t="shared" si="6"/>
        <v>3</v>
      </c>
      <c r="BF48" s="361" t="str">
        <f t="shared" si="7"/>
        <v/>
      </c>
    </row>
    <row r="49" spans="2:58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173" cm="1">
        <f t="array" ref="AV49" xml:space="preserve"> ROW() - ROW($8:$8)</f>
        <v>41</v>
      </c>
      <c r="AW49" s="349" t="s">
        <v>186</v>
      </c>
      <c r="AX49" s="350" t="s">
        <v>186</v>
      </c>
      <c r="AY49" s="351" t="s">
        <v>313</v>
      </c>
      <c r="AZ49" s="352" t="s">
        <v>889</v>
      </c>
      <c r="BC49" s="358" cm="1">
        <f t="array" ref="BC49" xml:space="preserve"> ROW() - ROW($8:$8)</f>
        <v>41</v>
      </c>
      <c r="BD49" s="359" t="str">
        <f>表格7_9[[#This Row],[注音符號]]</f>
        <v>ˋ</v>
      </c>
      <c r="BE49" s="360" t="str">
        <f t="shared" si="6"/>
        <v>4</v>
      </c>
      <c r="BF49" s="361" t="str">
        <f t="shared" si="7"/>
        <v/>
      </c>
    </row>
    <row r="50" spans="2:58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173" cm="1">
        <f t="array" ref="AV50" xml:space="preserve"> ROW() - ROW($8:$8)</f>
        <v>42</v>
      </c>
      <c r="AW50" s="349" t="s">
        <v>190</v>
      </c>
      <c r="AX50" s="350" t="s">
        <v>189</v>
      </c>
      <c r="AY50" s="351" t="s">
        <v>311</v>
      </c>
      <c r="AZ50" s="352" t="s">
        <v>123</v>
      </c>
      <c r="BC50" s="358" cm="1">
        <f t="array" ref="BC50" xml:space="preserve"> ROW() - ROW($8:$8)</f>
        <v>42</v>
      </c>
      <c r="BD50" s="359" t="str">
        <f>表格7_9[[#This Row],[注音符號]]</f>
        <v>˙</v>
      </c>
      <c r="BE50" s="360" t="str">
        <f t="shared" si="6"/>
        <v>7</v>
      </c>
      <c r="BF50" s="361" t="str">
        <f t="shared" si="7"/>
        <v/>
      </c>
    </row>
    <row r="51" spans="2:58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173" cm="1">
        <f t="array" ref="AV51" xml:space="preserve"> ROW() - ROW($8:$8)</f>
        <v>43</v>
      </c>
      <c r="AW51" s="110"/>
      <c r="AX51" s="108"/>
      <c r="AY51" s="171"/>
      <c r="AZ51" s="109"/>
      <c r="BC51" s="358" cm="1">
        <f t="array" ref="BC51" xml:space="preserve"> ROW() - ROW($8:$8)</f>
        <v>43</v>
      </c>
      <c r="BD51" s="359"/>
      <c r="BE51" s="360" t="str">
        <f t="shared" si="6"/>
        <v/>
      </c>
      <c r="BF51" s="361" t="str">
        <f t="shared" si="7"/>
        <v/>
      </c>
    </row>
    <row r="52" spans="2:58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173" cm="1">
        <f t="array" ref="AV52" xml:space="preserve"> ROW() - ROW($8:$8)</f>
        <v>44</v>
      </c>
      <c r="AW52" s="110"/>
      <c r="AX52" s="108"/>
      <c r="AY52" s="171"/>
      <c r="AZ52" s="109"/>
      <c r="BC52" s="358" cm="1">
        <f t="array" ref="BC52" xml:space="preserve"> ROW() - ROW($8:$8)</f>
        <v>44</v>
      </c>
      <c r="BD52" s="359"/>
      <c r="BE52" s="360" t="str">
        <f t="shared" si="6"/>
        <v/>
      </c>
      <c r="BF52" s="361" t="str">
        <f t="shared" si="7"/>
        <v/>
      </c>
    </row>
    <row r="53" spans="2:58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173" cm="1">
        <f t="array" ref="AV53" xml:space="preserve"> ROW() - ROW($8:$8)</f>
        <v>45</v>
      </c>
      <c r="AW53" s="110"/>
      <c r="AX53" s="108"/>
      <c r="AY53" s="171"/>
      <c r="AZ53" s="109"/>
      <c r="BC53" s="358" cm="1">
        <f t="array" ref="BC53" xml:space="preserve"> ROW() - ROW($8:$8)</f>
        <v>45</v>
      </c>
      <c r="BD53" s="359"/>
      <c r="BE53" s="360" t="str">
        <f t="shared" si="6"/>
        <v/>
      </c>
      <c r="BF53" s="361" t="str">
        <f t="shared" si="7"/>
        <v/>
      </c>
    </row>
    <row r="54" spans="2:58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173" cm="1">
        <f t="array" ref="AV54" xml:space="preserve"> ROW() - ROW($8:$8)</f>
        <v>46</v>
      </c>
      <c r="AW54" s="110"/>
      <c r="AX54" s="108"/>
      <c r="AY54" s="171"/>
      <c r="AZ54" s="109"/>
      <c r="BC54" s="358" cm="1">
        <f t="array" ref="BC54" xml:space="preserve"> ROW() - ROW($8:$8)</f>
        <v>46</v>
      </c>
      <c r="BD54" s="359"/>
      <c r="BE54" s="360" t="str">
        <f t="shared" si="6"/>
        <v/>
      </c>
      <c r="BF54" s="361" t="str">
        <f t="shared" si="7"/>
        <v/>
      </c>
    </row>
    <row r="55" spans="2:58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173" cm="1">
        <f t="array" ref="AV55" xml:space="preserve"> ROW() - ROW($8:$8)</f>
        <v>47</v>
      </c>
      <c r="AW55" s="110"/>
      <c r="AX55" s="108"/>
      <c r="AY55" s="171"/>
      <c r="AZ55" s="109"/>
      <c r="BC55" s="358" cm="1">
        <f t="array" ref="BC55" xml:space="preserve"> ROW() - ROW($8:$8)</f>
        <v>47</v>
      </c>
      <c r="BD55" s="359"/>
      <c r="BE55" s="360" t="str">
        <f t="shared" si="6"/>
        <v/>
      </c>
      <c r="BF55" s="361" t="str">
        <f t="shared" si="7"/>
        <v/>
      </c>
    </row>
    <row r="56" spans="2:58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173" cm="1">
        <f t="array" ref="AV56" xml:space="preserve"> ROW() - ROW($8:$8)</f>
        <v>48</v>
      </c>
      <c r="AW56" s="110"/>
      <c r="AX56" s="108"/>
      <c r="AY56" s="171"/>
      <c r="AZ56" s="109"/>
      <c r="BC56" s="358" cm="1">
        <f t="array" ref="BC56" xml:space="preserve"> ROW() - ROW($8:$8)</f>
        <v>48</v>
      </c>
      <c r="BD56" s="359"/>
      <c r="BE56" s="360" t="str">
        <f t="shared" si="6"/>
        <v/>
      </c>
      <c r="BF56" s="361" t="str">
        <f t="shared" si="7"/>
        <v/>
      </c>
    </row>
    <row r="57" spans="2:58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173" cm="1">
        <f t="array" ref="AV57" xml:space="preserve"> ROW() - ROW($8:$8)</f>
        <v>49</v>
      </c>
      <c r="AW57" s="110"/>
      <c r="AX57" s="108"/>
      <c r="AY57" s="171"/>
      <c r="AZ57" s="109"/>
      <c r="BC57" s="358" cm="1">
        <f t="array" ref="BC57" xml:space="preserve"> ROW() - ROW($8:$8)</f>
        <v>49</v>
      </c>
      <c r="BD57" s="359"/>
      <c r="BE57" s="360" t="str">
        <f t="shared" si="6"/>
        <v/>
      </c>
      <c r="BF57" s="361" t="str">
        <f t="shared" si="7"/>
        <v/>
      </c>
    </row>
    <row r="58" spans="2:58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173" cm="1">
        <f t="array" ref="AV58" xml:space="preserve"> ROW() - ROW($8:$8)</f>
        <v>50</v>
      </c>
      <c r="AW58" s="110"/>
      <c r="AX58" s="108"/>
      <c r="AY58" s="171"/>
      <c r="AZ58" s="109"/>
      <c r="BC58" s="358" cm="1">
        <f t="array" ref="BC58" xml:space="preserve"> ROW() - ROW($8:$8)</f>
        <v>50</v>
      </c>
      <c r="BD58" s="359"/>
      <c r="BE58" s="360" t="str">
        <f t="shared" si="6"/>
        <v/>
      </c>
      <c r="BF58" s="361" t="str">
        <f t="shared" si="7"/>
        <v/>
      </c>
    </row>
    <row r="59" spans="2:58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</row>
  </sheetData>
  <mergeCells count="44">
    <mergeCell ref="G14:I14"/>
    <mergeCell ref="J14:L14"/>
    <mergeCell ref="M14:O14"/>
    <mergeCell ref="P14:R14"/>
    <mergeCell ref="S14:U14"/>
    <mergeCell ref="F12:H12"/>
    <mergeCell ref="I12:K12"/>
    <mergeCell ref="L12:N12"/>
    <mergeCell ref="O12:Q12"/>
    <mergeCell ref="R12:T12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E10:G10"/>
    <mergeCell ref="H10:J10"/>
    <mergeCell ref="N10:P10"/>
    <mergeCell ref="Q10:S10"/>
    <mergeCell ref="AC10:AE10"/>
    <mergeCell ref="AF10:AH10"/>
    <mergeCell ref="AE8:AG8"/>
    <mergeCell ref="AH8:AJ8"/>
    <mergeCell ref="AK8:AM8"/>
    <mergeCell ref="J9:K9"/>
    <mergeCell ref="M9:N9"/>
    <mergeCell ref="S9:T9"/>
    <mergeCell ref="V9:W9"/>
    <mergeCell ref="AK9:AL9"/>
    <mergeCell ref="AI10:AK10"/>
    <mergeCell ref="AL10:AN10"/>
    <mergeCell ref="G8:I8"/>
    <mergeCell ref="J8:L8"/>
    <mergeCell ref="M8:O8"/>
    <mergeCell ref="S8:U8"/>
    <mergeCell ref="V8:X8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759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9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/>
      </c>
      <c r="O3" s="194" t="str">
        <f xml:space="preserve"> IFERROR( MID($A$22, $E3, 1), "")</f>
        <v/>
      </c>
      <c r="Q3" s="180">
        <v>1</v>
      </c>
      <c r="R3" s="183" t="str">
        <f>G3</f>
        <v>1</v>
      </c>
      <c r="S3" s="197" t="str">
        <f>F3</f>
        <v>p</v>
      </c>
      <c r="T3" s="183" t="str">
        <f xml:space="preserve"> INDEX($K$3:$K$57, MATCH(表格1_337[[#This Row],[鍵盤位置]], $J$3:$J$57,0))</f>
        <v>ㄅ</v>
      </c>
      <c r="V3" s="242" t="str">
        <f xml:space="preserve"> INDEX($K$3:$K$44, MATCH(表格1_337[[#This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65</v>
      </c>
      <c r="E4" s="180" cm="1">
        <f t="array" ref="E4" xml:space="preserve"> ROW() - ROW($2:$2)</f>
        <v>2</v>
      </c>
      <c r="F4" s="200" t="str">
        <f t="shared" ref="F4:F57" si="0" xml:space="preserve"> IFERROR( MID($A$6, $E4, 1), "")</f>
        <v>b</v>
      </c>
      <c r="G4" s="201" t="str">
        <f t="shared" ref="G4:G57" si="1" xml:space="preserve"> IFERROR( MID($A$7, $E4, 1), "")</f>
        <v>!</v>
      </c>
      <c r="I4" s="180">
        <v>2</v>
      </c>
      <c r="J4" s="195" t="str">
        <f t="shared" ref="J4:J57" si="2" xml:space="preserve"> IFERROR( MID($A$15, $E4, 1), "")</f>
        <v>!</v>
      </c>
      <c r="K4" s="195" t="str">
        <f t="shared" ref="K4:K57" si="3" xml:space="preserve"> IFERROR( MID($A$16, $E4, 1), "")</f>
        <v>ㆠ</v>
      </c>
      <c r="M4" s="180">
        <v>2</v>
      </c>
      <c r="N4" s="194" t="str">
        <f t="shared" ref="N4:N44" si="4" xml:space="preserve"> IFERROR( MID($A$21, $E4, 1), "")</f>
        <v/>
      </c>
      <c r="O4" s="194" t="str">
        <f t="shared" ref="O4:O44" si="5" xml:space="preserve"> IFERROR( MID($A$22, $E4, 1), "")</f>
        <v/>
      </c>
      <c r="Q4" s="180">
        <v>2</v>
      </c>
      <c r="R4" s="183" t="str">
        <f t="shared" ref="R4:R57" si="6">G4</f>
        <v>!</v>
      </c>
      <c r="S4" s="197" t="str">
        <f t="shared" ref="S4:S57" si="7">F4</f>
        <v>b</v>
      </c>
      <c r="T4" s="183" t="str">
        <f xml:space="preserve"> INDEX($K$3:$K$57, MATCH(表格1_337[[#This Row],[鍵盤位置]], $J$3:$J$57,0))</f>
        <v>ㆠ</v>
      </c>
      <c r="V4" s="242" t="str">
        <f xml:space="preserve"> INDEX($K$3:$K$44, MATCH(表格1_337[[#This Row],[鍵盤位置]], $J$3:$J$44,0))</f>
        <v>ㆠ</v>
      </c>
      <c r="W4" s="243" t="s">
        <v>38</v>
      </c>
      <c r="X4" s="244" t="s">
        <v>406</v>
      </c>
    </row>
    <row r="5" spans="1:24">
      <c r="A5" s="180">
        <f xml:space="preserve"> SEARCH("|",$A$2,A4+1)</f>
        <v>121</v>
      </c>
      <c r="E5" s="180" cm="1">
        <f t="array" ref="E5" xml:space="preserve"> ROW() - ROW($2:$2)</f>
        <v>3</v>
      </c>
      <c r="F5" s="200" t="str">
        <f t="shared" si="0"/>
        <v>P</v>
      </c>
      <c r="G5" s="201" t="str">
        <f t="shared" si="1"/>
        <v>q</v>
      </c>
      <c r="I5" s="180">
        <v>3</v>
      </c>
      <c r="J5" s="195" t="str">
        <f t="shared" si="2"/>
        <v>q</v>
      </c>
      <c r="K5" s="195" t="str">
        <f t="shared" si="3"/>
        <v>ㄆ</v>
      </c>
      <c r="M5" s="180">
        <v>3</v>
      </c>
      <c r="N5" s="194" t="str">
        <f t="shared" si="4"/>
        <v/>
      </c>
      <c r="O5" s="194" t="str">
        <f t="shared" si="5"/>
        <v/>
      </c>
      <c r="Q5" s="180">
        <v>3</v>
      </c>
      <c r="R5" s="183" t="str">
        <f t="shared" si="6"/>
        <v>q</v>
      </c>
      <c r="S5" s="197" t="str">
        <f t="shared" si="7"/>
        <v>P</v>
      </c>
      <c r="T5" s="183" t="str">
        <f xml:space="preserve"> INDEX($K$3:$K$57, MATCH(表格1_337[[#This Row],[鍵盤位置]], $J$3:$J$57,0))</f>
        <v>ㄆ</v>
      </c>
      <c r="V5" s="242" t="str">
        <f xml:space="preserve"> INDEX($K$3:$K$44, MATCH(表格1_337[[#This Row],[鍵盤位置]], $J$3:$J$44,0))</f>
        <v>ㄆ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pbPmtTnlkgKGhZJCSzjcsaAOQoeEyYxX{}M0N[]RriIuU1239&gt;&lt;4578</v>
      </c>
      <c r="B6" s="236">
        <f xml:space="preserve"> LEN(A6)</f>
        <v>55</v>
      </c>
      <c r="E6" s="180" cm="1">
        <f t="array" ref="E6" xml:space="preserve"> ROW() - ROW($2:$2)</f>
        <v>4</v>
      </c>
      <c r="F6" s="205" t="str">
        <f t="shared" si="0"/>
        <v>m</v>
      </c>
      <c r="G6" s="206" t="str">
        <f t="shared" si="1"/>
        <v>a</v>
      </c>
      <c r="I6" s="180">
        <v>4</v>
      </c>
      <c r="J6" s="195" t="str">
        <f t="shared" si="2"/>
        <v>a</v>
      </c>
      <c r="K6" s="195" t="str">
        <f t="shared" si="3"/>
        <v>ㄇ</v>
      </c>
      <c r="M6" s="180">
        <v>4</v>
      </c>
      <c r="N6" s="194" t="str">
        <f t="shared" si="4"/>
        <v/>
      </c>
      <c r="O6" s="194" t="str">
        <f t="shared" si="5"/>
        <v/>
      </c>
      <c r="Q6" s="180">
        <v>4</v>
      </c>
      <c r="R6" s="183" t="str">
        <f t="shared" si="6"/>
        <v>a</v>
      </c>
      <c r="S6" s="197" t="str">
        <f t="shared" si="7"/>
        <v>m</v>
      </c>
      <c r="T6" s="183" t="str">
        <f xml:space="preserve"> INDEX($K$3:$K$57, MATCH(表格1_337[[#This Row],[鍵盤位置]], $J$3:$J$57,0))</f>
        <v>ㄇ</v>
      </c>
      <c r="V6" s="242" t="str">
        <f xml:space="preserve"> INDEX($K$3:$K$44, MATCH(表格1_337[[#This Row],[鍵盤位置]], $J$3:$J$44,0))</f>
        <v>ㄇ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1!qa2wsxeEdDcrRfvyYhn8*iIkoO9(lL,&lt;m0p;:/-uUjJ 43btgz657</v>
      </c>
      <c r="B7" s="236">
        <f xml:space="preserve"> LEN(A7)</f>
        <v>55</v>
      </c>
      <c r="E7" s="180" cm="1">
        <f t="array" ref="E7" xml:space="preserve"> ROW() - ROW($2:$2)</f>
        <v>5</v>
      </c>
      <c r="F7" s="200" t="str">
        <f t="shared" si="0"/>
        <v>t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/>
      </c>
      <c r="O7" s="194" t="str">
        <f t="shared" si="5"/>
        <v/>
      </c>
      <c r="Q7" s="180">
        <v>5</v>
      </c>
      <c r="R7" s="183" t="str">
        <f t="shared" si="6"/>
        <v>2</v>
      </c>
      <c r="S7" s="197" t="str">
        <f t="shared" si="7"/>
        <v>t</v>
      </c>
      <c r="T7" s="183" t="str">
        <f xml:space="preserve"> INDEX($K$3:$K$57, MATCH(表格1_337[[#This Row],[鍵盤位置]], $J$3:$J$57,0))</f>
        <v>ㄉ</v>
      </c>
      <c r="V7" s="242" t="str">
        <f xml:space="preserve"> INDEX($K$3:$K$44, MATCH(表格1_337[[#This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/>
      </c>
      <c r="O8" s="194" t="str">
        <f t="shared" si="5"/>
        <v/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INDEX($K$3:$K$57, MATCH(表格1_337[[#This Row],[鍵盤位置]], $J$3:$J$57,0))</f>
        <v>ㄊ</v>
      </c>
      <c r="V8" s="242" t="str">
        <f xml:space="preserve"> INDEX($K$3:$K$44, MATCH(表格1_337[[#This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/>
      </c>
      <c r="O9" s="194" t="str">
        <f t="shared" si="5"/>
        <v/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INDEX($K$3:$K$57, MATCH(表格1_337[[#This Row],[鍵盤位置]], $J$3:$J$57,0))</f>
        <v>ㄋ</v>
      </c>
      <c r="V9" s="242" t="str">
        <f xml:space="preserve"> INDEX($K$3:$K$44, MATCH(表格1_337[[#This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/>
      </c>
      <c r="O10" s="194" t="str">
        <f t="shared" si="5"/>
        <v/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INDEX($K$3:$K$57, MATCH(表格1_337[[#This Row],[鍵盤位置]], $J$3:$J$57,0))</f>
        <v>ㄌ</v>
      </c>
      <c r="V10" s="242" t="str">
        <f xml:space="preserve"> INDEX($K$3:$K$44, MATCH(表格1_337[[#This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760</v>
      </c>
      <c r="E11" s="180" cm="1">
        <f t="array" ref="E11" xml:space="preserve"> ROW() - ROW($2:$2)</f>
        <v>9</v>
      </c>
      <c r="F11" s="191" t="str">
        <f t="shared" si="0"/>
        <v>k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/>
      </c>
      <c r="O11" s="194" t="str">
        <f t="shared" si="5"/>
        <v/>
      </c>
      <c r="Q11" s="180">
        <v>9</v>
      </c>
      <c r="R11" s="183" t="str">
        <f t="shared" si="6"/>
        <v>e</v>
      </c>
      <c r="S11" s="197" t="str">
        <f t="shared" si="7"/>
        <v>k</v>
      </c>
      <c r="T11" s="183" t="str">
        <f xml:space="preserve"> INDEX($K$3:$K$57, MATCH(表格1_337[[#This Row],[鍵盤位置]], $J$3:$J$57,0))</f>
        <v>ㄍ</v>
      </c>
      <c r="V11" s="242" t="str">
        <f xml:space="preserve"> INDEX($K$3:$K$44, MATCH(表格1_337[[#This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g</v>
      </c>
      <c r="G12" s="201" t="str">
        <f t="shared" si="1"/>
        <v>E</v>
      </c>
      <c r="I12" s="180">
        <v>10</v>
      </c>
      <c r="J12" s="195" t="str">
        <f t="shared" si="2"/>
        <v>E</v>
      </c>
      <c r="K12" s="195" t="str">
        <f t="shared" si="3"/>
        <v>ㆣ</v>
      </c>
      <c r="M12" s="180">
        <v>10</v>
      </c>
      <c r="N12" s="194" t="str">
        <f t="shared" si="4"/>
        <v/>
      </c>
      <c r="O12" s="194" t="str">
        <f t="shared" si="5"/>
        <v/>
      </c>
      <c r="Q12" s="180">
        <v>10</v>
      </c>
      <c r="R12" s="183" t="str">
        <f t="shared" si="6"/>
        <v>E</v>
      </c>
      <c r="S12" s="197" t="str">
        <f t="shared" si="7"/>
        <v>g</v>
      </c>
      <c r="T12" s="183" t="str">
        <f xml:space="preserve"> INDEX($K$3:$K$57, MATCH(表格1_337[[#This Row],[鍵盤位置]], $J$3:$J$57,0))</f>
        <v>ㄍ</v>
      </c>
      <c r="V12" s="242" t="str">
        <f xml:space="preserve"> INDEX($K$3:$K$44, MATCH(表格1_337[[#This Row],[鍵盤位置]], $J$3:$J$44,0))</f>
        <v>ㄍ</v>
      </c>
      <c r="W12" s="243" t="s">
        <v>70</v>
      </c>
      <c r="X12" s="244" t="s">
        <v>398</v>
      </c>
    </row>
    <row r="13" spans="1:24">
      <c r="A13" s="180">
        <f xml:space="preserve"> SEARCH("|",$A$11,A12+1)</f>
        <v>64</v>
      </c>
      <c r="E13" s="180" cm="1">
        <f t="array" ref="E13" xml:space="preserve"> ROW() - ROW($2:$2)</f>
        <v>11</v>
      </c>
      <c r="F13" s="210" t="str">
        <f t="shared" si="0"/>
        <v>K</v>
      </c>
      <c r="G13" s="211" t="str">
        <f t="shared" si="1"/>
        <v>d</v>
      </c>
      <c r="I13" s="180">
        <v>11</v>
      </c>
      <c r="J13" s="195" t="str">
        <f t="shared" si="2"/>
        <v>d</v>
      </c>
      <c r="K13" s="195" t="str">
        <f t="shared" si="3"/>
        <v>ㄎ</v>
      </c>
      <c r="M13" s="180">
        <v>11</v>
      </c>
      <c r="N13" s="194" t="str">
        <f t="shared" si="4"/>
        <v/>
      </c>
      <c r="O13" s="194" t="str">
        <f t="shared" si="5"/>
        <v/>
      </c>
      <c r="Q13" s="180">
        <v>11</v>
      </c>
      <c r="R13" s="183" t="str">
        <f t="shared" si="6"/>
        <v>d</v>
      </c>
      <c r="S13" s="197" t="str">
        <f t="shared" si="7"/>
        <v>K</v>
      </c>
      <c r="T13" s="183" t="str">
        <f xml:space="preserve"> INDEX($K$3:$K$57, MATCH(表格1_337[[#This Row],[鍵盤位置]], $J$3:$J$57,0))</f>
        <v>ㄎ</v>
      </c>
      <c r="V13" s="242" t="str">
        <f xml:space="preserve"> INDEX($K$3:$K$44, MATCH(表格1_337[[#This Row],[鍵盤位置]], $J$3:$J$44,0))</f>
        <v>ㄎ</v>
      </c>
      <c r="W13" s="243" t="s">
        <v>95</v>
      </c>
      <c r="X13" s="244" t="s">
        <v>395</v>
      </c>
    </row>
    <row r="14" spans="1:24">
      <c r="A14" s="180">
        <f xml:space="preserve"> SEARCH("|",$A$11,A13+1)</f>
        <v>120</v>
      </c>
      <c r="E14" s="180" cm="1">
        <f t="array" ref="E14" xml:space="preserve"> ROW() - ROW($2:$2)</f>
        <v>12</v>
      </c>
      <c r="F14" s="191" t="str">
        <f t="shared" si="0"/>
        <v>G</v>
      </c>
      <c r="G14" s="192" t="str">
        <f t="shared" si="1"/>
        <v>D</v>
      </c>
      <c r="I14" s="180">
        <v>12</v>
      </c>
      <c r="J14" s="195" t="str">
        <f t="shared" si="2"/>
        <v>D</v>
      </c>
      <c r="K14" s="195" t="str">
        <f t="shared" si="3"/>
        <v>ㄫ</v>
      </c>
      <c r="M14" s="180">
        <v>12</v>
      </c>
      <c r="N14" s="194" t="str">
        <f t="shared" si="4"/>
        <v/>
      </c>
      <c r="O14" s="194" t="str">
        <f t="shared" si="5"/>
        <v/>
      </c>
      <c r="Q14" s="180">
        <v>12</v>
      </c>
      <c r="R14" s="183" t="str">
        <f t="shared" si="6"/>
        <v>D</v>
      </c>
      <c r="S14" s="197" t="str">
        <f t="shared" si="7"/>
        <v>G</v>
      </c>
      <c r="T14" s="183" t="str">
        <f xml:space="preserve"> INDEX($K$3:$K$57, MATCH(表格1_337[[#This Row],[鍵盤位置]], $J$3:$J$57,0))</f>
        <v>ㄎ</v>
      </c>
      <c r="V14" s="242" t="str">
        <f xml:space="preserve"> INDEX($K$3:$K$44, MATCH(表格1_337[[#This Row],[鍵盤位置]], $J$3:$J$44,0))</f>
        <v>ㄎ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1!qa2wsxeEdDcrRfvyYhn8*iIkoO9(lL,&lt;m0p;:/-uUjJ 43btgz657</v>
      </c>
      <c r="B15" s="236">
        <f xml:space="preserve"> LEN(A15)</f>
        <v>55</v>
      </c>
      <c r="E15" s="180" cm="1">
        <f t="array" ref="E15" xml:space="preserve"> ROW() - ROW($2:$2)</f>
        <v>13</v>
      </c>
      <c r="F15" s="200" t="str">
        <f t="shared" si="0"/>
        <v>h</v>
      </c>
      <c r="G15" s="201" t="str">
        <f t="shared" si="1"/>
        <v>c</v>
      </c>
      <c r="I15" s="180">
        <v>13</v>
      </c>
      <c r="J15" s="195" t="str">
        <f t="shared" si="2"/>
        <v>c</v>
      </c>
      <c r="K15" s="195" t="str">
        <f t="shared" si="3"/>
        <v>ㄏ</v>
      </c>
      <c r="M15" s="180">
        <v>13</v>
      </c>
      <c r="N15" s="194" t="str">
        <f t="shared" si="4"/>
        <v/>
      </c>
      <c r="O15" s="194" t="str">
        <f t="shared" si="5"/>
        <v/>
      </c>
      <c r="Q15" s="180">
        <v>13</v>
      </c>
      <c r="R15" s="183" t="str">
        <f t="shared" si="6"/>
        <v>c</v>
      </c>
      <c r="S15" s="197" t="str">
        <f t="shared" si="7"/>
        <v>h</v>
      </c>
      <c r="T15" s="183" t="str">
        <f xml:space="preserve"> INDEX($K$3:$K$57, MATCH(表格1_337[[#This Row],[鍵盤位置]], $J$3:$J$57,0))</f>
        <v>ㄏ</v>
      </c>
      <c r="V15" s="242" t="str">
        <f xml:space="preserve"> INDEX($K$3:$K$44, MATCH(表格1_337[[#This Row],[鍵盤位置]], $J$3:$J$44,0))</f>
        <v>ㄏ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36">
        <f xml:space="preserve"> LEN(A16)</f>
        <v>55</v>
      </c>
      <c r="E16" s="180" cm="1">
        <f t="array" ref="E16" xml:space="preserve"> ROW() - ROW($2:$2)</f>
        <v>14</v>
      </c>
      <c r="F16" s="205" t="str">
        <f t="shared" si="0"/>
        <v>Z</v>
      </c>
      <c r="G16" s="206" t="str">
        <f t="shared" si="1"/>
        <v>r</v>
      </c>
      <c r="I16" s="180">
        <v>14</v>
      </c>
      <c r="J16" s="195" t="str">
        <f t="shared" si="2"/>
        <v>r</v>
      </c>
      <c r="K16" s="195" t="str">
        <f t="shared" si="3"/>
        <v>ㄐ</v>
      </c>
      <c r="M16" s="180">
        <v>14</v>
      </c>
      <c r="N16" s="194" t="str">
        <f t="shared" si="4"/>
        <v/>
      </c>
      <c r="O16" s="194" t="str">
        <f t="shared" si="5"/>
        <v/>
      </c>
      <c r="Q16" s="180">
        <v>14</v>
      </c>
      <c r="R16" s="183" t="str">
        <f t="shared" si="6"/>
        <v>r</v>
      </c>
      <c r="S16" s="197" t="str">
        <f t="shared" si="7"/>
        <v>Z</v>
      </c>
      <c r="T16" s="183" t="str">
        <f xml:space="preserve"> INDEX($K$3:$K$57, MATCH(表格1_337[[#This Row],[鍵盤位置]], $J$3:$J$57,0))</f>
        <v>ㄐ</v>
      </c>
      <c r="V16" s="242" t="str">
        <f xml:space="preserve"> INDEX($K$3:$K$44, MATCH(表格1_337[[#This Row],[鍵盤位置]], $J$3:$J$44,0))</f>
        <v>ㄐ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J</v>
      </c>
      <c r="G17" s="192" t="str">
        <f t="shared" si="1"/>
        <v>R</v>
      </c>
      <c r="I17" s="180">
        <v>15</v>
      </c>
      <c r="J17" s="195" t="str">
        <f t="shared" si="2"/>
        <v>R</v>
      </c>
      <c r="K17" s="195" t="str">
        <f t="shared" si="3"/>
        <v>ㆢ</v>
      </c>
      <c r="M17" s="180">
        <v>15</v>
      </c>
      <c r="N17" s="194" t="str">
        <f t="shared" si="4"/>
        <v/>
      </c>
      <c r="O17" s="194" t="str">
        <f t="shared" si="5"/>
        <v/>
      </c>
      <c r="Q17" s="180">
        <v>15</v>
      </c>
      <c r="R17" s="183" t="str">
        <f t="shared" si="6"/>
        <v>R</v>
      </c>
      <c r="S17" s="197" t="str">
        <f t="shared" si="7"/>
        <v>J</v>
      </c>
      <c r="T17" s="183" t="str">
        <f xml:space="preserve"> INDEX($K$3:$K$57, MATCH(表格1_337[[#This Row],[鍵盤位置]], $J$3:$J$57,0))</f>
        <v>ㄐ</v>
      </c>
      <c r="V17" s="242" t="str">
        <f xml:space="preserve"> INDEX($K$3:$K$44, MATCH(表格1_337[[#This Row],[鍵盤位置]], $J$3:$J$44,0))</f>
        <v>ㄐ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f</v>
      </c>
      <c r="I18" s="180">
        <v>16</v>
      </c>
      <c r="J18" s="195" t="str">
        <f t="shared" si="2"/>
        <v>f</v>
      </c>
      <c r="K18" s="195" t="str">
        <f t="shared" si="3"/>
        <v>ㄑ</v>
      </c>
      <c r="M18" s="180">
        <v>16</v>
      </c>
      <c r="N18" s="194" t="str">
        <f t="shared" si="4"/>
        <v/>
      </c>
      <c r="O18" s="194" t="str">
        <f t="shared" si="5"/>
        <v/>
      </c>
      <c r="Q18" s="180">
        <v>16</v>
      </c>
      <c r="R18" s="183" t="str">
        <f t="shared" si="6"/>
        <v>f</v>
      </c>
      <c r="S18" s="197" t="str">
        <f t="shared" si="7"/>
        <v>C</v>
      </c>
      <c r="T18" s="183" t="str">
        <f xml:space="preserve"> INDEX($K$3:$K$57, MATCH(表格1_337[[#This Row],[鍵盤位置]], $J$3:$J$57,0))</f>
        <v>ㄑ</v>
      </c>
      <c r="V18" s="242" t="str">
        <f xml:space="preserve"> INDEX($K$3:$K$44, MATCH(表格1_337[[#This Row],[鍵盤位置]], $J$3:$J$44,0))</f>
        <v>ㄑ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v</v>
      </c>
      <c r="I19" s="180">
        <v>17</v>
      </c>
      <c r="J19" s="195" t="str">
        <f t="shared" si="2"/>
        <v>v</v>
      </c>
      <c r="K19" s="195" t="str">
        <f t="shared" si="3"/>
        <v>ㄒ</v>
      </c>
      <c r="M19" s="180">
        <v>17</v>
      </c>
      <c r="N19" s="194" t="str">
        <f t="shared" si="4"/>
        <v/>
      </c>
      <c r="O19" s="194" t="str">
        <f t="shared" si="5"/>
        <v/>
      </c>
      <c r="Q19" s="180">
        <v>17</v>
      </c>
      <c r="R19" s="183" t="str">
        <f t="shared" si="6"/>
        <v>v</v>
      </c>
      <c r="S19" s="197" t="str">
        <f t="shared" si="7"/>
        <v>S</v>
      </c>
      <c r="T19" s="183" t="str">
        <f xml:space="preserve"> INDEX($K$3:$K$57, MATCH(表格1_337[[#This Row],[鍵盤位置]], $J$3:$J$57,0))</f>
        <v>ㄒ</v>
      </c>
      <c r="V19" s="242" t="str">
        <f xml:space="preserve"> INDEX($K$3:$K$44, MATCH(表格1_337[[#This Row],[鍵盤位置]], $J$3:$J$44,0))</f>
        <v>ㄒ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z</v>
      </c>
      <c r="G20" s="217" t="str">
        <f t="shared" si="1"/>
        <v>y</v>
      </c>
      <c r="I20" s="180">
        <v>18</v>
      </c>
      <c r="J20" s="195" t="str">
        <f t="shared" si="2"/>
        <v>y</v>
      </c>
      <c r="K20" s="195" t="str">
        <f t="shared" si="3"/>
        <v>ㄗ</v>
      </c>
      <c r="M20" s="180">
        <v>18</v>
      </c>
      <c r="N20" s="194" t="str">
        <f t="shared" si="4"/>
        <v/>
      </c>
      <c r="O20" s="194" t="str">
        <f t="shared" si="5"/>
        <v/>
      </c>
      <c r="Q20" s="180">
        <v>18</v>
      </c>
      <c r="R20" s="183" t="str">
        <f t="shared" si="6"/>
        <v>y</v>
      </c>
      <c r="S20" s="197" t="str">
        <f t="shared" si="7"/>
        <v>z</v>
      </c>
      <c r="T20" s="183" t="str">
        <f xml:space="preserve"> INDEX($K$3:$K$57, MATCH(表格1_337[[#This Row],[鍵盤位置]], $J$3:$J$57,0))</f>
        <v>ㄗ</v>
      </c>
      <c r="V20" s="242" t="str">
        <f xml:space="preserve"> INDEX($K$3:$K$44, MATCH(表格1_337[[#This Row],[鍵盤位置]], $J$3:$J$44,0))</f>
        <v>ㄗ</v>
      </c>
      <c r="W20" s="243" t="s">
        <v>308</v>
      </c>
      <c r="X20" s="244" t="s">
        <v>392</v>
      </c>
    </row>
    <row r="21" spans="1:24">
      <c r="A21" s="252"/>
      <c r="E21" s="180" cm="1">
        <f t="array" ref="E21" xml:space="preserve"> ROW() - ROW($2:$2)</f>
        <v>19</v>
      </c>
      <c r="F21" s="221" t="str">
        <f t="shared" si="0"/>
        <v>j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ㆡ</v>
      </c>
      <c r="M21" s="180">
        <v>19</v>
      </c>
      <c r="N21" s="194" t="str">
        <f t="shared" si="4"/>
        <v/>
      </c>
      <c r="O21" s="194" t="str">
        <f t="shared" si="5"/>
        <v/>
      </c>
      <c r="Q21" s="180">
        <v>19</v>
      </c>
      <c r="R21" s="183" t="str">
        <f t="shared" si="6"/>
        <v>Y</v>
      </c>
      <c r="S21" s="197" t="str">
        <f t="shared" si="7"/>
        <v>j</v>
      </c>
      <c r="T21" s="183" t="str">
        <f xml:space="preserve"> INDEX($K$3:$K$57, MATCH(表格1_337[[#This Row],[鍵盤位置]], $J$3:$J$57,0))</f>
        <v>ㄗ</v>
      </c>
      <c r="V21" s="242" t="str">
        <f xml:space="preserve"> INDEX($K$3:$K$44, MATCH(表格1_337[[#This Row],[鍵盤位置]], $J$3:$J$44,0))</f>
        <v>ㄗ</v>
      </c>
      <c r="W21" s="243" t="s">
        <v>643</v>
      </c>
      <c r="X21" s="244" t="s">
        <v>394</v>
      </c>
    </row>
    <row r="22" spans="1:24">
      <c r="A22" s="180" t="e">
        <f xml:space="preserve"> SEARCH("|",A21,1)</f>
        <v>#VALUE!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/>
      </c>
      <c r="O22" s="194" t="str">
        <f t="shared" si="5"/>
        <v/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INDEX($K$3:$K$57, MATCH(表格1_337[[#This Row],[鍵盤位置]], $J$3:$J$57,0))</f>
        <v>ㄘ</v>
      </c>
      <c r="V22" s="242" t="str">
        <f xml:space="preserve"> INDEX($K$3:$K$44, MATCH(表格1_337[[#This Row],[鍵盤位置]], $J$3:$J$44,0))</f>
        <v>ㄘ</v>
      </c>
      <c r="W22" s="243" t="s">
        <v>663</v>
      </c>
      <c r="X22" s="244" t="s">
        <v>393</v>
      </c>
    </row>
    <row r="23" spans="1:24">
      <c r="A23" s="180" t="e">
        <f xml:space="preserve"> SEARCH("|",A21,A22+1)</f>
        <v>#VALUE!</v>
      </c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/>
      </c>
      <c r="O23" s="194" t="str">
        <f t="shared" si="5"/>
        <v/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INDEX($K$3:$K$57, MATCH(表格1_337[[#This Row],[鍵盤位置]], $J$3:$J$57,0))</f>
        <v>ㄙ</v>
      </c>
      <c r="V23" s="242" t="str">
        <f xml:space="preserve"> INDEX($K$3:$K$44, MATCH(表格1_337[[#This Row],[鍵盤位置]], $J$3:$J$44,0))</f>
        <v>ㄙ</v>
      </c>
      <c r="W23" s="243" t="s">
        <v>99</v>
      </c>
      <c r="X23" s="244" t="s">
        <v>391</v>
      </c>
    </row>
    <row r="24" spans="1:24">
      <c r="A24" s="180" t="e">
        <f xml:space="preserve"> SEARCH("|",A21,A23+1)</f>
        <v>#VALUE!</v>
      </c>
      <c r="E24" s="180" cm="1">
        <f t="array" ref="E24" xml:space="preserve"> ROW() - ROW($2:$2)</f>
        <v>22</v>
      </c>
      <c r="F24" s="225" t="str">
        <f t="shared" si="0"/>
        <v>a</v>
      </c>
      <c r="G24" s="225" t="str">
        <f t="shared" si="1"/>
        <v>8</v>
      </c>
      <c r="I24" s="180">
        <v>22</v>
      </c>
      <c r="J24" s="195" t="str">
        <f t="shared" si="2"/>
        <v>8</v>
      </c>
      <c r="K24" s="195" t="str">
        <f t="shared" si="3"/>
        <v>ㄚ</v>
      </c>
      <c r="M24" s="180">
        <v>22</v>
      </c>
      <c r="N24" s="194" t="str">
        <f t="shared" si="4"/>
        <v/>
      </c>
      <c r="O24" s="194" t="str">
        <f t="shared" si="5"/>
        <v/>
      </c>
      <c r="Q24" s="180">
        <v>22</v>
      </c>
      <c r="R24" s="183" t="str">
        <f t="shared" si="6"/>
        <v>8</v>
      </c>
      <c r="S24" s="197" t="str">
        <f t="shared" si="7"/>
        <v>a</v>
      </c>
      <c r="T24" s="183" t="str">
        <f xml:space="preserve"> INDEX($K$3:$K$57, MATCH(表格1_337[[#This Row],[鍵盤位置]], $J$3:$J$57,0))</f>
        <v>ㄚ</v>
      </c>
      <c r="V24" s="242" t="str">
        <f xml:space="preserve"> INDEX($K$3:$K$44, MATCH(表格1_337[[#This Row],[鍵盤位置]], $J$3:$J$44,0))</f>
        <v>ㄚ</v>
      </c>
      <c r="W24" s="245" t="s">
        <v>49</v>
      </c>
      <c r="X24" s="244" t="s">
        <v>373</v>
      </c>
    </row>
    <row r="25" spans="1:24">
      <c r="A25" s="235" t="e">
        <f xml:space="preserve"> MID(A21,A22+1, A24-A23-1)</f>
        <v>#VALUE!</v>
      </c>
      <c r="B25" s="236" t="e">
        <f xml:space="preserve"> LEN(A25)</f>
        <v>#VALUE!</v>
      </c>
      <c r="E25" s="180" cm="1">
        <f t="array" ref="E25" xml:space="preserve"> ROW() - ROW($2:$2)</f>
        <v>23</v>
      </c>
      <c r="F25" s="225" t="str">
        <f t="shared" si="0"/>
        <v>A</v>
      </c>
      <c r="G25" s="225" t="str">
        <f t="shared" si="1"/>
        <v>*</v>
      </c>
      <c r="I25" s="180">
        <v>23</v>
      </c>
      <c r="J25" s="195" t="str">
        <f t="shared" si="2"/>
        <v>*</v>
      </c>
      <c r="K25" s="195" t="str">
        <f t="shared" si="3"/>
        <v>ㆩ</v>
      </c>
      <c r="M25" s="180">
        <v>23</v>
      </c>
      <c r="N25" s="194" t="str">
        <f t="shared" si="4"/>
        <v/>
      </c>
      <c r="O25" s="194" t="str">
        <f t="shared" si="5"/>
        <v/>
      </c>
      <c r="Q25" s="180">
        <v>23</v>
      </c>
      <c r="R25" s="183" t="str">
        <f t="shared" si="6"/>
        <v>*</v>
      </c>
      <c r="S25" s="197" t="str">
        <f t="shared" si="7"/>
        <v>A</v>
      </c>
      <c r="T25" s="183" t="str">
        <f xml:space="preserve"> INDEX($K$3:$K$57, MATCH(表格1_337[[#This Row],[鍵盤位置]], $J$3:$J$57,0))</f>
        <v>ㄅ</v>
      </c>
      <c r="V25" s="242" t="str">
        <f xml:space="preserve"> INDEX($K$3:$K$44, MATCH(表格1_337[[#This Row],[鍵盤位置]], $J$3:$J$44,0))</f>
        <v>ㄅ</v>
      </c>
      <c r="W25" s="245" t="s">
        <v>77</v>
      </c>
      <c r="X25" s="244" t="s">
        <v>371</v>
      </c>
    </row>
    <row r="26" spans="1:24">
      <c r="A26" s="235" t="e">
        <f xml:space="preserve"> MID(A21,A23+1, A24-A23-1)</f>
        <v>#VALUE!</v>
      </c>
      <c r="B26" s="236" t="e">
        <f xml:space="preserve"> LEN(A26)</f>
        <v>#VALUE!</v>
      </c>
      <c r="E26" s="180" cm="1">
        <f t="array" ref="E26" xml:space="preserve"> ROW() - ROW($2:$2)</f>
        <v>24</v>
      </c>
      <c r="F26" s="225" t="str">
        <f t="shared" si="0"/>
        <v>O</v>
      </c>
      <c r="G26" s="225" t="str">
        <f t="shared" si="1"/>
        <v>i</v>
      </c>
      <c r="I26" s="180">
        <v>24</v>
      </c>
      <c r="J26" s="195" t="str">
        <f t="shared" si="2"/>
        <v>i</v>
      </c>
      <c r="K26" s="195" t="str">
        <f t="shared" si="3"/>
        <v>ㆦ</v>
      </c>
      <c r="M26" s="180">
        <v>24</v>
      </c>
      <c r="N26" s="194" t="str">
        <f t="shared" si="4"/>
        <v/>
      </c>
      <c r="O26" s="194" t="str">
        <f t="shared" si="5"/>
        <v/>
      </c>
      <c r="Q26" s="180">
        <v>24</v>
      </c>
      <c r="R26" s="183" t="str">
        <f t="shared" si="6"/>
        <v>i</v>
      </c>
      <c r="S26" s="197" t="str">
        <f t="shared" si="7"/>
        <v>O</v>
      </c>
      <c r="T26" s="183" t="str">
        <f xml:space="preserve"> INDEX($K$3:$K$57, MATCH(表格1_337[[#This Row],[鍵盤位置]], $J$3:$J$57,0))</f>
        <v>ㆦ</v>
      </c>
      <c r="V26" s="242" t="str">
        <f xml:space="preserve"> INDEX($K$3:$K$44, MATCH(表格1_337[[#This Row],[鍵盤位置]], $J$3:$J$44,0))</f>
        <v>ㆦ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Q</v>
      </c>
      <c r="G27" s="225" t="str">
        <f t="shared" si="1"/>
        <v>I</v>
      </c>
      <c r="I27" s="180">
        <v>25</v>
      </c>
      <c r="J27" s="195" t="str">
        <f t="shared" si="2"/>
        <v>I</v>
      </c>
      <c r="K27" s="195" t="str">
        <f t="shared" si="3"/>
        <v>ㆧ</v>
      </c>
      <c r="M27" s="180">
        <v>25</v>
      </c>
      <c r="N27" s="194" t="str">
        <f t="shared" si="4"/>
        <v/>
      </c>
      <c r="O27" s="194" t="str">
        <f t="shared" si="5"/>
        <v/>
      </c>
      <c r="Q27" s="180">
        <v>25</v>
      </c>
      <c r="R27" s="183" t="str">
        <f t="shared" si="6"/>
        <v>I</v>
      </c>
      <c r="S27" s="197" t="str">
        <f t="shared" si="7"/>
        <v>Q</v>
      </c>
      <c r="T27" s="183" t="str">
        <f xml:space="preserve"> INDEX($K$3:$K$57, MATCH(表格1_337[[#This Row],[鍵盤位置]], $J$3:$J$57,0))</f>
        <v>ㆦ</v>
      </c>
      <c r="V27" s="242" t="str">
        <f xml:space="preserve"> INDEX($K$3:$K$44, MATCH(表格1_337[[#This Row],[鍵盤位置]], $J$3:$J$44,0))</f>
        <v>ㆦ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k</v>
      </c>
      <c r="I28" s="180">
        <v>26</v>
      </c>
      <c r="J28" s="195" t="str">
        <f t="shared" si="2"/>
        <v>k</v>
      </c>
      <c r="K28" s="195" t="str">
        <f t="shared" si="3"/>
        <v>ㄜ</v>
      </c>
      <c r="M28" s="180">
        <v>26</v>
      </c>
      <c r="N28" s="194" t="str">
        <f t="shared" si="4"/>
        <v/>
      </c>
      <c r="O28" s="194" t="str">
        <f t="shared" si="5"/>
        <v/>
      </c>
      <c r="Q28" s="180">
        <v>26</v>
      </c>
      <c r="R28" s="183" t="str">
        <f t="shared" si="6"/>
        <v>k</v>
      </c>
      <c r="S28" s="197" t="str">
        <f t="shared" si="7"/>
        <v>o</v>
      </c>
      <c r="T28" s="183" t="str">
        <f xml:space="preserve"> INDEX($K$3:$K$57, MATCH(表格1_337[[#This Row],[鍵盤位置]], $J$3:$J$57,0))</f>
        <v>ㄜ</v>
      </c>
      <c r="V28" s="242" t="str">
        <f xml:space="preserve"> INDEX($K$3:$K$44, MATCH(表格1_337[[#This Row],[鍵盤位置]], $J$3:$J$44,0))</f>
        <v>ㄜ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o</v>
      </c>
      <c r="I29" s="180">
        <v>27</v>
      </c>
      <c r="J29" s="195" t="str">
        <f t="shared" si="2"/>
        <v>o</v>
      </c>
      <c r="K29" s="195" t="str">
        <f t="shared" si="3"/>
        <v>ㆤ</v>
      </c>
      <c r="M29" s="180">
        <v>27</v>
      </c>
      <c r="N29" s="194" t="str">
        <f t="shared" si="4"/>
        <v/>
      </c>
      <c r="O29" s="194" t="str">
        <f t="shared" si="5"/>
        <v/>
      </c>
      <c r="Q29" s="180">
        <v>27</v>
      </c>
      <c r="R29" s="183" t="str">
        <f t="shared" si="6"/>
        <v>o</v>
      </c>
      <c r="S29" s="197" t="str">
        <f t="shared" si="7"/>
        <v>e</v>
      </c>
      <c r="T29" s="183" t="str">
        <f xml:space="preserve"> INDEX($K$3:$K$57, MATCH(表格1_337[[#This Row],[鍵盤位置]], $J$3:$J$57,0))</f>
        <v>ㆤ</v>
      </c>
      <c r="V29" s="242" t="str">
        <f xml:space="preserve"> INDEX($K$3:$K$44, MATCH(表格1_337[[#This Row],[鍵盤位置]], $J$3:$J$44,0))</f>
        <v>ㆤ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O</v>
      </c>
      <c r="I30" s="180">
        <v>28</v>
      </c>
      <c r="J30" s="195" t="str">
        <f t="shared" si="2"/>
        <v>O</v>
      </c>
      <c r="K30" s="195" t="str">
        <f t="shared" si="3"/>
        <v>ㆥ</v>
      </c>
      <c r="M30" s="180">
        <v>28</v>
      </c>
      <c r="N30" s="194" t="str">
        <f t="shared" si="4"/>
        <v/>
      </c>
      <c r="O30" s="194" t="str">
        <f t="shared" si="5"/>
        <v/>
      </c>
      <c r="Q30" s="180">
        <v>28</v>
      </c>
      <c r="R30" s="183" t="str">
        <f t="shared" si="6"/>
        <v>O</v>
      </c>
      <c r="S30" s="197" t="str">
        <f t="shared" si="7"/>
        <v>E</v>
      </c>
      <c r="T30" s="183" t="str">
        <f xml:space="preserve"> INDEX($K$3:$K$57, MATCH(表格1_337[[#This Row],[鍵盤位置]], $J$3:$J$57,0))</f>
        <v>ㆤ</v>
      </c>
      <c r="V30" s="242" t="str">
        <f xml:space="preserve"> INDEX($K$3:$K$44, MATCH(表格1_337[[#This Row],[鍵盤位置]], $J$3:$J$44,0))</f>
        <v>ㆤ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y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/>
      </c>
      <c r="O31" s="194" t="str">
        <f t="shared" si="5"/>
        <v/>
      </c>
      <c r="Q31" s="180">
        <v>29</v>
      </c>
      <c r="R31" s="183" t="str">
        <f t="shared" si="6"/>
        <v>9</v>
      </c>
      <c r="S31" s="197" t="str">
        <f t="shared" si="7"/>
        <v>y</v>
      </c>
      <c r="T31" s="183" t="str">
        <f xml:space="preserve"> INDEX($K$3:$K$57, MATCH(表格1_337[[#This Row],[鍵盤位置]], $J$3:$J$57,0))</f>
        <v>ㄞ</v>
      </c>
      <c r="V31" s="242" t="str">
        <f xml:space="preserve"> INDEX($K$3:$K$44, MATCH(表格1_337[[#This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Y</v>
      </c>
      <c r="G32" s="225" t="str">
        <f t="shared" si="1"/>
        <v>(</v>
      </c>
      <c r="I32" s="180">
        <v>30</v>
      </c>
      <c r="J32" s="195" t="str">
        <f t="shared" si="2"/>
        <v>(</v>
      </c>
      <c r="K32" s="195" t="str">
        <f t="shared" si="3"/>
        <v>ㆮ</v>
      </c>
      <c r="M32" s="180">
        <v>30</v>
      </c>
      <c r="N32" s="194" t="str">
        <f t="shared" si="4"/>
        <v/>
      </c>
      <c r="O32" s="194" t="str">
        <f t="shared" si="5"/>
        <v/>
      </c>
      <c r="Q32" s="180">
        <v>30</v>
      </c>
      <c r="R32" s="183" t="str">
        <f t="shared" si="6"/>
        <v>(</v>
      </c>
      <c r="S32" s="197" t="str">
        <f t="shared" si="7"/>
        <v>Y</v>
      </c>
      <c r="T32" s="183" t="str">
        <f xml:space="preserve"> INDEX($K$3:$K$57, MATCH(表格1_337[[#This Row],[鍵盤位置]], $J$3:$J$57,0))</f>
        <v>ㆮ</v>
      </c>
      <c r="V32" s="242" t="str">
        <f xml:space="preserve"> INDEX($K$3:$K$44, MATCH(表格1_337[[#This Row],[鍵盤位置]], $J$3:$J$44,0))</f>
        <v>ㆮ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x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/>
      </c>
      <c r="O33" s="194" t="str">
        <f t="shared" si="5"/>
        <v/>
      </c>
      <c r="Q33" s="180">
        <v>31</v>
      </c>
      <c r="R33" s="183" t="str">
        <f t="shared" si="6"/>
        <v>l</v>
      </c>
      <c r="S33" s="197" t="str">
        <f t="shared" si="7"/>
        <v>x</v>
      </c>
      <c r="T33" s="183" t="str">
        <f xml:space="preserve"> INDEX($K$3:$K$57, MATCH(表格1_337[[#This Row],[鍵盤位置]], $J$3:$J$57,0))</f>
        <v>ㄠ</v>
      </c>
      <c r="V33" s="242" t="str">
        <f xml:space="preserve"> INDEX($K$3:$K$44, MATCH(表格1_337[[#This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X</v>
      </c>
      <c r="G34" s="225" t="str">
        <f t="shared" si="1"/>
        <v>L</v>
      </c>
      <c r="I34" s="180">
        <v>32</v>
      </c>
      <c r="J34" s="195" t="str">
        <f t="shared" si="2"/>
        <v>L</v>
      </c>
      <c r="K34" s="195" t="str">
        <f t="shared" si="3"/>
        <v>ㆯ</v>
      </c>
      <c r="M34" s="180">
        <v>32</v>
      </c>
      <c r="N34" s="194" t="str">
        <f t="shared" si="4"/>
        <v/>
      </c>
      <c r="O34" s="194" t="str">
        <f t="shared" si="5"/>
        <v/>
      </c>
      <c r="Q34" s="180">
        <v>32</v>
      </c>
      <c r="R34" s="183" t="str">
        <f t="shared" si="6"/>
        <v>L</v>
      </c>
      <c r="S34" s="197" t="str">
        <f t="shared" si="7"/>
        <v>X</v>
      </c>
      <c r="T34" s="183" t="str">
        <f xml:space="preserve"> INDEX($K$3:$K$57, MATCH(表格1_337[[#This Row],[鍵盤位置]], $J$3:$J$57,0))</f>
        <v>ㄠ</v>
      </c>
      <c r="V34" s="242" t="str">
        <f xml:space="preserve"> INDEX($K$3:$K$44, MATCH(表格1_337[[#This Row],[鍵盤位置]], $J$3:$J$44,0))</f>
        <v>ㄠ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{</v>
      </c>
      <c r="G35" s="225" t="str">
        <f t="shared" si="1"/>
        <v>,</v>
      </c>
      <c r="I35" s="180">
        <v>33</v>
      </c>
      <c r="J35" s="195" t="str">
        <f t="shared" si="2"/>
        <v>,</v>
      </c>
      <c r="K35" s="195" t="str">
        <f t="shared" si="3"/>
        <v>ㆰ</v>
      </c>
      <c r="M35" s="180">
        <v>33</v>
      </c>
      <c r="N35" s="194" t="str">
        <f t="shared" si="4"/>
        <v/>
      </c>
      <c r="O35" s="194" t="str">
        <f t="shared" si="5"/>
        <v/>
      </c>
      <c r="Q35" s="180">
        <v>33</v>
      </c>
      <c r="R35" s="183" t="str">
        <f t="shared" si="6"/>
        <v>,</v>
      </c>
      <c r="S35" s="197" t="str">
        <f t="shared" si="7"/>
        <v>{</v>
      </c>
      <c r="T35" s="183" t="str">
        <f xml:space="preserve"> INDEX($K$3:$K$57, MATCH(表格1_337[[#This Row],[鍵盤位置]], $J$3:$J$57,0))</f>
        <v>ㆰ</v>
      </c>
      <c r="V35" s="242" t="str">
        <f xml:space="preserve"> INDEX($K$3:$K$44, MATCH(表格1_337[[#This Row],[鍵盤位置]], $J$3:$J$44,0))</f>
        <v>ㆰ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}</v>
      </c>
      <c r="G36" s="225" t="str">
        <f t="shared" si="1"/>
        <v>&lt;</v>
      </c>
      <c r="I36" s="180">
        <v>34</v>
      </c>
      <c r="J36" s="195" t="str">
        <f t="shared" si="2"/>
        <v>&lt;</v>
      </c>
      <c r="K36" s="195" t="str">
        <f t="shared" si="3"/>
        <v>ㆱ</v>
      </c>
      <c r="M36" s="180">
        <v>34</v>
      </c>
      <c r="N36" s="194" t="str">
        <f t="shared" si="4"/>
        <v/>
      </c>
      <c r="O36" s="194" t="str">
        <f t="shared" si="5"/>
        <v/>
      </c>
      <c r="Q36" s="180">
        <v>34</v>
      </c>
      <c r="R36" s="183" t="str">
        <f t="shared" si="6"/>
        <v>&lt;</v>
      </c>
      <c r="S36" s="197" t="str">
        <f t="shared" si="7"/>
        <v>}</v>
      </c>
      <c r="T36" s="183" t="str">
        <f xml:space="preserve"> INDEX($K$3:$K$57, MATCH(表格1_337[[#This Row],[鍵盤位置]], $J$3:$J$57,0))</f>
        <v>ㆱ</v>
      </c>
      <c r="V36" s="242" t="str">
        <f xml:space="preserve"> INDEX($K$3:$K$44, MATCH(表格1_337[[#This Row],[鍵盤位置]], $J$3:$J$44,0))</f>
        <v>ㆱ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M</v>
      </c>
      <c r="G37" s="225" t="str">
        <f t="shared" si="1"/>
        <v>m</v>
      </c>
      <c r="I37" s="180">
        <v>35</v>
      </c>
      <c r="J37" s="195" t="str">
        <f t="shared" si="2"/>
        <v>m</v>
      </c>
      <c r="K37" s="195" t="str">
        <f t="shared" si="3"/>
        <v>ㆬ</v>
      </c>
      <c r="M37" s="180">
        <v>35</v>
      </c>
      <c r="N37" s="194" t="str">
        <f t="shared" si="4"/>
        <v/>
      </c>
      <c r="O37" s="194" t="str">
        <f t="shared" si="5"/>
        <v/>
      </c>
      <c r="Q37" s="180">
        <v>35</v>
      </c>
      <c r="R37" s="183" t="str">
        <f t="shared" si="6"/>
        <v>m</v>
      </c>
      <c r="S37" s="197" t="str">
        <f t="shared" si="7"/>
        <v>M</v>
      </c>
      <c r="T37" s="183" t="str">
        <f xml:space="preserve"> INDEX($K$3:$K$57, MATCH(表格1_337[[#This Row],[鍵盤位置]], $J$3:$J$57,0))</f>
        <v>ㆬ</v>
      </c>
      <c r="V37" s="242" t="str">
        <f xml:space="preserve"> INDEX($K$3:$K$44, MATCH(表格1_337[[#This Row],[鍵盤位置]], $J$3:$J$44,0))</f>
        <v>ㆬ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0</v>
      </c>
      <c r="G38" s="225" t="str">
        <f t="shared" si="1"/>
        <v>0</v>
      </c>
      <c r="I38" s="180">
        <v>36</v>
      </c>
      <c r="J38" s="195" t="str">
        <f t="shared" si="2"/>
        <v>0</v>
      </c>
      <c r="K38" s="195" t="str">
        <f t="shared" si="3"/>
        <v>ㄢ</v>
      </c>
      <c r="M38" s="180">
        <v>36</v>
      </c>
      <c r="N38" s="194" t="str">
        <f t="shared" si="4"/>
        <v/>
      </c>
      <c r="O38" s="194" t="str">
        <f t="shared" si="5"/>
        <v/>
      </c>
      <c r="Q38" s="180">
        <v>36</v>
      </c>
      <c r="R38" s="183" t="str">
        <f t="shared" si="6"/>
        <v>0</v>
      </c>
      <c r="S38" s="197" t="str">
        <f t="shared" si="7"/>
        <v>0</v>
      </c>
      <c r="T38" s="183" t="str">
        <f xml:space="preserve"> INDEX($K$3:$K$57, MATCH(表格1_337[[#This Row],[鍵盤位置]], $J$3:$J$57,0))</f>
        <v>ㄢ</v>
      </c>
      <c r="V38" s="242" t="str">
        <f xml:space="preserve"> INDEX($K$3:$K$44, MATCH(表格1_337[[#This Row],[鍵盤位置]], $J$3:$J$44,0))</f>
        <v>ㄢ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N</v>
      </c>
      <c r="G39" s="225" t="str">
        <f t="shared" si="1"/>
        <v>p</v>
      </c>
      <c r="I39" s="180">
        <v>37</v>
      </c>
      <c r="J39" s="195" t="str">
        <f t="shared" si="2"/>
        <v>p</v>
      </c>
      <c r="K39" s="195" t="str">
        <f t="shared" si="3"/>
        <v>ㄣ</v>
      </c>
      <c r="M39" s="180">
        <v>37</v>
      </c>
      <c r="N39" s="194" t="str">
        <f t="shared" si="4"/>
        <v/>
      </c>
      <c r="O39" s="194" t="str">
        <f t="shared" si="5"/>
        <v/>
      </c>
      <c r="Q39" s="180">
        <v>37</v>
      </c>
      <c r="R39" s="183" t="str">
        <f t="shared" si="6"/>
        <v>p</v>
      </c>
      <c r="S39" s="197" t="str">
        <f t="shared" si="7"/>
        <v>N</v>
      </c>
      <c r="T39" s="183" t="str">
        <f xml:space="preserve"> INDEX($K$3:$K$57, MATCH(表格1_337[[#This Row],[鍵盤位置]], $J$3:$J$57,0))</f>
        <v>ㄣ</v>
      </c>
      <c r="V39" s="242" t="str">
        <f xml:space="preserve"> INDEX($K$3:$K$44, MATCH(表格1_337[[#This Row],[鍵盤位置]], $J$3:$J$44,0))</f>
        <v>ㄣ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[</v>
      </c>
      <c r="G40" s="225" t="str">
        <f t="shared" si="1"/>
        <v>;</v>
      </c>
      <c r="I40" s="180">
        <v>38</v>
      </c>
      <c r="J40" s="195" t="str">
        <f t="shared" si="2"/>
        <v>;</v>
      </c>
      <c r="K40" s="195" t="str">
        <f t="shared" si="3"/>
        <v>ㄤ</v>
      </c>
      <c r="M40" s="180">
        <v>38</v>
      </c>
      <c r="N40" s="194" t="str">
        <f t="shared" si="4"/>
        <v/>
      </c>
      <c r="O40" s="194" t="str">
        <f t="shared" si="5"/>
        <v/>
      </c>
      <c r="Q40" s="180">
        <v>38</v>
      </c>
      <c r="R40" s="183" t="str">
        <f t="shared" si="6"/>
        <v>;</v>
      </c>
      <c r="S40" s="197" t="str">
        <f t="shared" si="7"/>
        <v>[</v>
      </c>
      <c r="T40" s="183" t="str">
        <f xml:space="preserve"> INDEX($K$3:$K$57, MATCH(表格1_337[[#This Row],[鍵盤位置]], $J$3:$J$57,0))</f>
        <v>ㄤ</v>
      </c>
      <c r="V40" s="242" t="str">
        <f xml:space="preserve"> INDEX($K$3:$K$44, MATCH(表格1_337[[#This Row],[鍵盤位置]], $J$3:$J$44,0))</f>
        <v>ㄤ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]</v>
      </c>
      <c r="G41" s="225" t="str">
        <f t="shared" si="1"/>
        <v>:</v>
      </c>
      <c r="I41" s="180">
        <v>39</v>
      </c>
      <c r="J41" s="195" t="str">
        <f t="shared" si="2"/>
        <v>:</v>
      </c>
      <c r="K41" s="195" t="str">
        <f t="shared" si="3"/>
        <v>ㆲ</v>
      </c>
      <c r="M41" s="180">
        <v>39</v>
      </c>
      <c r="N41" s="194" t="str">
        <f t="shared" si="4"/>
        <v/>
      </c>
      <c r="O41" s="194" t="str">
        <f t="shared" si="5"/>
        <v/>
      </c>
      <c r="Q41" s="180">
        <v>39</v>
      </c>
      <c r="R41" s="183" t="str">
        <f t="shared" si="6"/>
        <v>:</v>
      </c>
      <c r="S41" s="197" t="str">
        <f t="shared" si="7"/>
        <v>]</v>
      </c>
      <c r="T41" s="183" t="str">
        <f xml:space="preserve"> INDEX($K$3:$K$57, MATCH(表格1_337[[#This Row],[鍵盤位置]], $J$3:$J$57,0))</f>
        <v>ㆲ</v>
      </c>
      <c r="V41" s="242" t="str">
        <f xml:space="preserve"> INDEX($K$3:$K$44, MATCH(表格1_337[[#This Row],[鍵盤位置]], $J$3:$J$44,0))</f>
        <v>ㆲ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R</v>
      </c>
      <c r="G42" s="225" t="str">
        <f t="shared" si="1"/>
        <v>/</v>
      </c>
      <c r="I42" s="180">
        <v>40</v>
      </c>
      <c r="J42" s="195" t="str">
        <f t="shared" si="2"/>
        <v>/</v>
      </c>
      <c r="K42" s="195" t="str">
        <f t="shared" si="3"/>
        <v>ㄥ</v>
      </c>
      <c r="M42" s="180">
        <v>40</v>
      </c>
      <c r="N42" s="194" t="str">
        <f t="shared" si="4"/>
        <v/>
      </c>
      <c r="O42" s="194" t="str">
        <f t="shared" si="5"/>
        <v/>
      </c>
      <c r="Q42" s="180">
        <v>40</v>
      </c>
      <c r="R42" s="183" t="str">
        <f t="shared" si="6"/>
        <v>/</v>
      </c>
      <c r="S42" s="197" t="str">
        <f t="shared" si="7"/>
        <v>R</v>
      </c>
      <c r="T42" s="183" t="str">
        <f xml:space="preserve"> INDEX($K$3:$K$57, MATCH(表格1_337[[#This Row],[鍵盤位置]], $J$3:$J$57,0))</f>
        <v>ㄥ</v>
      </c>
      <c r="V42" s="242" t="str">
        <f xml:space="preserve"> INDEX($K$3:$K$44, MATCH(表格1_337[[#This Row],[鍵盤位置]], $J$3:$J$44,0))</f>
        <v>ㄥ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r</v>
      </c>
      <c r="G43" s="225" t="str">
        <f t="shared" si="1"/>
        <v>-</v>
      </c>
      <c r="I43" s="180">
        <v>41</v>
      </c>
      <c r="J43" s="195" t="str">
        <f t="shared" si="2"/>
        <v>-</v>
      </c>
      <c r="K43" s="195" t="str">
        <f t="shared" si="3"/>
        <v>ㆭ</v>
      </c>
      <c r="M43" s="180">
        <v>41</v>
      </c>
      <c r="N43" s="194" t="str">
        <f t="shared" si="4"/>
        <v/>
      </c>
      <c r="O43" s="194" t="str">
        <f t="shared" si="5"/>
        <v/>
      </c>
      <c r="Q43" s="180">
        <v>41</v>
      </c>
      <c r="R43" s="183" t="str">
        <f t="shared" si="6"/>
        <v>-</v>
      </c>
      <c r="S43" s="197" t="str">
        <f t="shared" si="7"/>
        <v>r</v>
      </c>
      <c r="T43" s="183" t="str">
        <f xml:space="preserve"> INDEX($K$3:$K$57, MATCH(表格1_337[[#This Row],[鍵盤位置]], $J$3:$J$57,0))</f>
        <v>ㆭ</v>
      </c>
      <c r="V43" s="242" t="str">
        <f xml:space="preserve"> INDEX($K$3:$K$44, MATCH(表格1_337[[#This Row],[鍵盤位置]], $J$3:$J$44,0))</f>
        <v>ㆭ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i</v>
      </c>
      <c r="G44" s="225" t="str">
        <f t="shared" si="1"/>
        <v>u</v>
      </c>
      <c r="I44" s="180">
        <v>42</v>
      </c>
      <c r="J44" s="195" t="str">
        <f t="shared" si="2"/>
        <v>u</v>
      </c>
      <c r="K44" s="195" t="str">
        <f t="shared" si="3"/>
        <v>ㄧ</v>
      </c>
      <c r="M44" s="180">
        <v>42</v>
      </c>
      <c r="N44" s="194" t="str">
        <f t="shared" si="4"/>
        <v/>
      </c>
      <c r="O44" s="194" t="str">
        <f t="shared" si="5"/>
        <v/>
      </c>
      <c r="Q44" s="180">
        <v>42</v>
      </c>
      <c r="R44" s="183" t="str">
        <f t="shared" si="6"/>
        <v>u</v>
      </c>
      <c r="S44" s="197" t="str">
        <f t="shared" si="7"/>
        <v>i</v>
      </c>
      <c r="T44" s="183" t="str">
        <f xml:space="preserve"> INDEX($K$3:$K$57, MATCH(表格1_337[[#This Row],[鍵盤位置]], $J$3:$J$57,0))</f>
        <v>ㄧ</v>
      </c>
      <c r="V44" s="242" t="str">
        <f xml:space="preserve"> INDEX($K$3:$K$44, MATCH(表格1_337[[#This Row],[鍵盤位置]], $J$3:$J$44,0))</f>
        <v>ㄧ</v>
      </c>
      <c r="W44" s="245" t="s">
        <v>311</v>
      </c>
      <c r="X44" s="244" t="s">
        <v>369</v>
      </c>
    </row>
    <row r="45" spans="5:24">
      <c r="E45" s="180" cm="1">
        <f t="array" ref="E45" xml:space="preserve"> ROW() - ROW($2:$2)</f>
        <v>43</v>
      </c>
      <c r="F45" s="225" t="str">
        <f t="shared" si="0"/>
        <v>I</v>
      </c>
      <c r="G45" s="225" t="str">
        <f t="shared" si="1"/>
        <v>U</v>
      </c>
      <c r="I45" s="180">
        <v>43</v>
      </c>
      <c r="J45" s="195" t="str">
        <f t="shared" si="2"/>
        <v>U</v>
      </c>
      <c r="K45" s="195" t="str">
        <f t="shared" si="3"/>
        <v>ㆪ</v>
      </c>
      <c r="O45" s="180"/>
      <c r="Q45" s="180">
        <v>43</v>
      </c>
      <c r="R45" s="183" t="str">
        <f t="shared" si="6"/>
        <v>U</v>
      </c>
      <c r="S45" s="197" t="str">
        <f t="shared" si="7"/>
        <v>I</v>
      </c>
      <c r="T45" s="183" t="str">
        <f xml:space="preserve"> INDEX($K$3:$K$57, MATCH(表格1_337[[#This Row],[鍵盤位置]], $J$3:$J$57,0))</f>
        <v>ㄧ</v>
      </c>
    </row>
    <row r="46" spans="5:24">
      <c r="E46" s="180" cm="1">
        <f t="array" ref="E46" xml:space="preserve"> ROW() - ROW($2:$2)</f>
        <v>44</v>
      </c>
      <c r="F46" s="225" t="str">
        <f t="shared" si="0"/>
        <v>u</v>
      </c>
      <c r="G46" s="225" t="str">
        <f t="shared" si="1"/>
        <v>j</v>
      </c>
      <c r="I46" s="180">
        <v>44</v>
      </c>
      <c r="J46" s="195" t="str">
        <f t="shared" si="2"/>
        <v>j</v>
      </c>
      <c r="K46" s="195" t="str">
        <f t="shared" si="3"/>
        <v>ㄨ</v>
      </c>
      <c r="Q46" s="180">
        <v>44</v>
      </c>
      <c r="R46" s="183" t="str">
        <f t="shared" si="6"/>
        <v>j</v>
      </c>
      <c r="S46" s="197" t="str">
        <f t="shared" si="7"/>
        <v>u</v>
      </c>
      <c r="T46" s="183" t="str">
        <f xml:space="preserve"> INDEX($K$3:$K$57, MATCH(表格1_337[[#This Row],[鍵盤位置]], $J$3:$J$57,0))</f>
        <v>ㄨ</v>
      </c>
    </row>
    <row r="47" spans="5:24">
      <c r="E47" s="180" cm="1">
        <f t="array" ref="E47" xml:space="preserve"> ROW() - ROW($2:$2)</f>
        <v>45</v>
      </c>
      <c r="F47" s="225" t="str">
        <f t="shared" si="0"/>
        <v>U</v>
      </c>
      <c r="G47" s="225" t="str">
        <f t="shared" si="1"/>
        <v>J</v>
      </c>
      <c r="I47" s="180">
        <v>45</v>
      </c>
      <c r="J47" s="195" t="str">
        <f t="shared" si="2"/>
        <v>J</v>
      </c>
      <c r="K47" s="195" t="str">
        <f t="shared" si="3"/>
        <v>ㆫ</v>
      </c>
      <c r="Q47" s="180">
        <v>45</v>
      </c>
      <c r="R47" s="183" t="str">
        <f t="shared" si="6"/>
        <v>J</v>
      </c>
      <c r="S47" s="197" t="str">
        <f t="shared" si="7"/>
        <v>U</v>
      </c>
      <c r="T47" s="183" t="str">
        <f xml:space="preserve"> INDEX($K$3:$K$57, MATCH(表格1_337[[#This Row],[鍵盤位置]], $J$3:$J$57,0))</f>
        <v>ㄨ</v>
      </c>
    </row>
    <row r="48" spans="5:24">
      <c r="E48" s="180" cm="1">
        <f t="array" ref="E48" xml:space="preserve"> ROW() - ROW($2:$2)</f>
        <v>46</v>
      </c>
      <c r="F48" s="225" t="str">
        <f t="shared" si="0"/>
        <v>1</v>
      </c>
      <c r="G48" s="225" t="str">
        <f t="shared" si="1"/>
        <v xml:space="preserve"> </v>
      </c>
      <c r="I48" s="180">
        <v>46</v>
      </c>
      <c r="J48" s="195" t="str">
        <f t="shared" si="2"/>
        <v xml:space="preserve"> </v>
      </c>
      <c r="K48" s="195" t="str">
        <f t="shared" si="3"/>
        <v xml:space="preserve"> </v>
      </c>
      <c r="Q48" s="180">
        <v>46</v>
      </c>
      <c r="R48" s="183" t="str">
        <f t="shared" si="6"/>
        <v xml:space="preserve"> </v>
      </c>
      <c r="S48" s="197" t="str">
        <f t="shared" si="7"/>
        <v>1</v>
      </c>
      <c r="T48" s="183" t="str">
        <f xml:space="preserve"> INDEX($K$3:$K$57, MATCH(表格1_337[[#This Row],[鍵盤位置]], $J$3:$J$57,0))</f>
        <v xml:space="preserve"> </v>
      </c>
    </row>
    <row r="49" spans="5:20">
      <c r="E49" s="180" cm="1">
        <f t="array" ref="E49" xml:space="preserve"> ROW() - ROW($2:$2)</f>
        <v>47</v>
      </c>
      <c r="F49" s="225" t="str">
        <f t="shared" si="0"/>
        <v>2</v>
      </c>
      <c r="G49" s="225" t="str">
        <f t="shared" si="1"/>
        <v>4</v>
      </c>
      <c r="I49" s="180">
        <v>47</v>
      </c>
      <c r="J49" s="195" t="str">
        <f t="shared" si="2"/>
        <v>4</v>
      </c>
      <c r="K49" s="195" t="str">
        <f t="shared" si="3"/>
        <v>ˋ</v>
      </c>
      <c r="Q49" s="180">
        <v>47</v>
      </c>
      <c r="R49" s="183" t="str">
        <f t="shared" si="6"/>
        <v>4</v>
      </c>
      <c r="S49" s="197" t="str">
        <f t="shared" si="7"/>
        <v>2</v>
      </c>
      <c r="T49" s="183" t="str">
        <f xml:space="preserve"> INDEX($K$3:$K$57, MATCH(表格1_337[[#This Row],[鍵盤位置]], $J$3:$J$57,0))</f>
        <v>ˋ</v>
      </c>
    </row>
    <row r="50" spans="5:20">
      <c r="E50" s="180" cm="1">
        <f t="array" ref="E50" xml:space="preserve"> ROW() - ROW($2:$2)</f>
        <v>48</v>
      </c>
      <c r="F50" s="225" t="str">
        <f t="shared" si="0"/>
        <v>3</v>
      </c>
      <c r="G50" s="225" t="str">
        <f t="shared" si="1"/>
        <v>3</v>
      </c>
      <c r="I50" s="180">
        <v>48</v>
      </c>
      <c r="J50" s="195" t="str">
        <f t="shared" si="2"/>
        <v>3</v>
      </c>
      <c r="K50" s="195" t="str">
        <f t="shared" si="3"/>
        <v>˪</v>
      </c>
      <c r="Q50" s="180">
        <v>48</v>
      </c>
      <c r="R50" s="183" t="str">
        <f t="shared" si="6"/>
        <v>3</v>
      </c>
      <c r="S50" s="197" t="str">
        <f t="shared" si="7"/>
        <v>3</v>
      </c>
      <c r="T50" s="183" t="str">
        <f xml:space="preserve"> INDEX($K$3:$K$57, MATCH(表格1_337[[#This Row],[鍵盤位置]], $J$3:$J$57,0))</f>
        <v>˪</v>
      </c>
    </row>
    <row r="51" spans="5:20">
      <c r="E51" s="180" cm="1">
        <f t="array" ref="E51" xml:space="preserve"> ROW() - ROW($2:$2)</f>
        <v>49</v>
      </c>
      <c r="F51" s="225" t="str">
        <f t="shared" si="0"/>
        <v>9</v>
      </c>
      <c r="G51" s="225" t="str">
        <f t="shared" si="1"/>
        <v>b</v>
      </c>
      <c r="I51" s="180">
        <v>49</v>
      </c>
      <c r="J51" s="195" t="str">
        <f t="shared" si="2"/>
        <v>b</v>
      </c>
      <c r="K51" s="195" t="str">
        <f t="shared" si="3"/>
        <v>ㆴ</v>
      </c>
      <c r="Q51" s="180">
        <v>49</v>
      </c>
      <c r="R51" s="183" t="str">
        <f t="shared" si="6"/>
        <v>b</v>
      </c>
      <c r="S51" s="197" t="str">
        <f t="shared" si="7"/>
        <v>9</v>
      </c>
      <c r="T51" s="183" t="str">
        <f xml:space="preserve"> INDEX($K$3:$K$57, MATCH(表格1_337[[#This Row],[鍵盤位置]], $J$3:$J$57,0))</f>
        <v>ㆴ</v>
      </c>
    </row>
    <row r="52" spans="5:20">
      <c r="E52" s="180" cm="1">
        <f t="array" ref="E52" xml:space="preserve"> ROW() - ROW($2:$2)</f>
        <v>50</v>
      </c>
      <c r="F52" s="225" t="str">
        <f t="shared" si="0"/>
        <v>&gt;</v>
      </c>
      <c r="G52" s="225" t="str">
        <f t="shared" si="1"/>
        <v>t</v>
      </c>
      <c r="I52" s="180">
        <v>50</v>
      </c>
      <c r="J52" s="195" t="str">
        <f t="shared" si="2"/>
        <v>t</v>
      </c>
      <c r="K52" s="195" t="str">
        <f t="shared" si="3"/>
        <v>ㆵ</v>
      </c>
      <c r="Q52" s="180">
        <v>50</v>
      </c>
      <c r="R52" s="183" t="str">
        <f t="shared" si="6"/>
        <v>t</v>
      </c>
      <c r="S52" s="197" t="str">
        <f t="shared" si="7"/>
        <v>&gt;</v>
      </c>
      <c r="T52" s="183" t="str">
        <f xml:space="preserve"> INDEX($K$3:$K$57, MATCH(表格1_337[[#This Row],[鍵盤位置]], $J$3:$J$57,0))</f>
        <v>ㆵ</v>
      </c>
    </row>
    <row r="53" spans="5:20">
      <c r="E53" s="180" cm="1">
        <f t="array" ref="E53" xml:space="preserve"> ROW() - ROW($2:$2)</f>
        <v>51</v>
      </c>
      <c r="F53" s="225" t="str">
        <f t="shared" si="0"/>
        <v>&lt;</v>
      </c>
      <c r="G53" s="225" t="str">
        <f t="shared" si="1"/>
        <v>g</v>
      </c>
      <c r="I53" s="180">
        <v>51</v>
      </c>
      <c r="J53" s="195" t="str">
        <f t="shared" si="2"/>
        <v>g</v>
      </c>
      <c r="K53" s="195" t="str">
        <f t="shared" si="3"/>
        <v>ㆻ</v>
      </c>
      <c r="Q53" s="180">
        <v>51</v>
      </c>
      <c r="R53" s="183" t="str">
        <f t="shared" si="6"/>
        <v>g</v>
      </c>
      <c r="S53" s="197" t="str">
        <f t="shared" si="7"/>
        <v>&lt;</v>
      </c>
      <c r="T53" s="183" t="str">
        <f xml:space="preserve"> INDEX($K$3:$K$57, MATCH(表格1_337[[#This Row],[鍵盤位置]], $J$3:$J$57,0))</f>
        <v>ㆻ</v>
      </c>
    </row>
    <row r="54" spans="5:20">
      <c r="E54" s="180" cm="1">
        <f t="array" ref="E54" xml:space="preserve"> ROW() - ROW($2:$2)</f>
        <v>52</v>
      </c>
      <c r="F54" s="225" t="str">
        <f t="shared" si="0"/>
        <v>4</v>
      </c>
      <c r="G54" s="225" t="str">
        <f t="shared" si="1"/>
        <v>z</v>
      </c>
      <c r="I54" s="180">
        <v>52</v>
      </c>
      <c r="J54" s="195" t="str">
        <f t="shared" si="2"/>
        <v>z</v>
      </c>
      <c r="K54" s="195" t="str">
        <f t="shared" si="3"/>
        <v>ㆷ</v>
      </c>
      <c r="Q54" s="180">
        <v>52</v>
      </c>
      <c r="R54" s="183" t="str">
        <f t="shared" si="6"/>
        <v>z</v>
      </c>
      <c r="S54" s="197" t="str">
        <f t="shared" si="7"/>
        <v>4</v>
      </c>
      <c r="T54" s="183" t="str">
        <f xml:space="preserve"> INDEX($K$3:$K$57, MATCH(表格1_337[[#This Row],[鍵盤位置]], $J$3:$J$57,0))</f>
        <v>ㆷ</v>
      </c>
    </row>
    <row r="55" spans="5:20">
      <c r="E55" s="180" cm="1">
        <f t="array" ref="E55" xml:space="preserve"> ROW() - ROW($2:$2)</f>
        <v>53</v>
      </c>
      <c r="F55" s="225" t="str">
        <f t="shared" si="0"/>
        <v>5</v>
      </c>
      <c r="G55" s="225" t="str">
        <f t="shared" si="1"/>
        <v>6</v>
      </c>
      <c r="I55" s="180">
        <v>53</v>
      </c>
      <c r="J55" s="195" t="str">
        <f t="shared" si="2"/>
        <v>6</v>
      </c>
      <c r="K55" s="195" t="str">
        <f t="shared" si="3"/>
        <v>ˊ</v>
      </c>
      <c r="Q55" s="180">
        <v>53</v>
      </c>
      <c r="R55" s="183" t="str">
        <f t="shared" si="6"/>
        <v>6</v>
      </c>
      <c r="S55" s="197" t="str">
        <f t="shared" si="7"/>
        <v>5</v>
      </c>
      <c r="T55" s="183" t="str">
        <f xml:space="preserve"> INDEX($K$3:$K$57, MATCH(表格1_337[[#This Row],[鍵盤位置]], $J$3:$J$57,0))</f>
        <v>ˊ</v>
      </c>
    </row>
    <row r="56" spans="5:20">
      <c r="E56" s="180" cm="1">
        <f t="array" ref="E56" xml:space="preserve"> ROW() - ROW($2:$2)</f>
        <v>54</v>
      </c>
      <c r="F56" s="225" t="str">
        <f t="shared" si="0"/>
        <v>7</v>
      </c>
      <c r="G56" s="225" t="str">
        <f t="shared" si="1"/>
        <v>5</v>
      </c>
      <c r="I56" s="180">
        <v>54</v>
      </c>
      <c r="J56" s="195" t="str">
        <f t="shared" si="2"/>
        <v>5</v>
      </c>
      <c r="K56" s="195" t="str">
        <f t="shared" si="3"/>
        <v>˫</v>
      </c>
      <c r="Q56" s="180">
        <v>54</v>
      </c>
      <c r="R56" s="183" t="str">
        <f t="shared" si="6"/>
        <v>5</v>
      </c>
      <c r="S56" s="197" t="str">
        <f t="shared" si="7"/>
        <v>7</v>
      </c>
      <c r="T56" s="183" t="str">
        <f xml:space="preserve"> INDEX($K$3:$K$57, MATCH(表格1_337[[#This Row],[鍵盤位置]], $J$3:$J$57,0))</f>
        <v>˫</v>
      </c>
    </row>
    <row r="57" spans="5:20">
      <c r="E57" s="180" cm="1">
        <f t="array" ref="E57" xml:space="preserve"> ROW() - ROW($2:$2)</f>
        <v>55</v>
      </c>
      <c r="F57" s="225" t="str">
        <f t="shared" si="0"/>
        <v>8</v>
      </c>
      <c r="G57" s="225" t="str">
        <f t="shared" si="1"/>
        <v>7</v>
      </c>
      <c r="I57" s="180">
        <v>55</v>
      </c>
      <c r="J57" s="195" t="str">
        <f t="shared" si="2"/>
        <v>7</v>
      </c>
      <c r="K57" s="195" t="str">
        <f t="shared" si="3"/>
        <v>˙</v>
      </c>
      <c r="Q57" s="180">
        <v>55</v>
      </c>
      <c r="R57" s="183" t="str">
        <f t="shared" si="6"/>
        <v>7</v>
      </c>
      <c r="S57" s="197" t="str">
        <f t="shared" si="7"/>
        <v>8</v>
      </c>
      <c r="T57" s="183" t="str">
        <f xml:space="preserve"> INDEX($K$3:$K$57, MATCH(表格1_337[[#This Row],[鍵盤位置]], $J$3:$J$57,0))</f>
        <v>˙</v>
      </c>
    </row>
    <row r="58" spans="5:20">
      <c r="R58" s="183"/>
      <c r="S58" s="197"/>
      <c r="T58" s="183"/>
    </row>
    <row r="59" spans="5:20">
      <c r="R59" s="183"/>
      <c r="S59" s="197"/>
      <c r="T59" s="183"/>
    </row>
    <row r="60" spans="5:20">
      <c r="R60" s="183"/>
      <c r="S60" s="197"/>
      <c r="T60" s="183"/>
    </row>
    <row r="61" spans="5:20">
      <c r="R61" s="183"/>
      <c r="S61" s="197"/>
      <c r="T61" s="183"/>
    </row>
    <row r="62" spans="5:20">
      <c r="R62" s="183"/>
      <c r="S62" s="197"/>
      <c r="T62" s="183"/>
    </row>
    <row r="63" spans="5:20">
      <c r="R63" s="183"/>
      <c r="S63" s="197"/>
      <c r="T63" s="183"/>
    </row>
    <row r="64" spans="5:20">
      <c r="R64" s="183"/>
      <c r="S64" s="197"/>
      <c r="T64" s="183"/>
    </row>
    <row r="65" spans="18:20">
      <c r="R65" s="183"/>
      <c r="S65" s="197"/>
      <c r="T65" s="183"/>
    </row>
    <row r="66" spans="18:20">
      <c r="R66" s="183"/>
      <c r="S66" s="197"/>
      <c r="T66" s="183"/>
    </row>
    <row r="67" spans="18:20">
      <c r="R67" s="183"/>
      <c r="S67" s="197"/>
      <c r="T67" s="183"/>
    </row>
    <row r="68" spans="18:20">
      <c r="R68" s="183"/>
      <c r="S68" s="197"/>
      <c r="T68" s="183"/>
    </row>
    <row r="69" spans="18:20">
      <c r="R69" s="183"/>
      <c r="S69" s="197"/>
      <c r="T69" s="183"/>
    </row>
    <row r="70" spans="18:20">
      <c r="R70" s="183"/>
      <c r="S70" s="197"/>
      <c r="T70" s="183"/>
    </row>
    <row r="72" spans="18:20">
      <c r="S72" s="180" t="str">
        <f xml:space="preserve"> _xlfn.CONCAT(按鍵編碼)</f>
        <v>pbPmtTnlkgKGhZJCSzjcsaAOQoeEyYxX{}M0N[]RriIuU1239&gt;&lt;4578</v>
      </c>
    </row>
    <row r="73" spans="18:20">
      <c r="S73" s="180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46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INDEX(表格1_334[字典編碼], MATCH($X3, 表格1_334[方音符號], 0)), "")</f>
        <v>p</v>
      </c>
      <c r="AA3" s="112" t="str">
        <f t="shared" ref="AA3:AA44" si="0">Z3</f>
        <v>p</v>
      </c>
      <c r="AB3" s="274" t="str">
        <f xml:space="preserve"> IFERROR( INDEX(表格1_334[鍵盤按鍵], MATCH($X3, 表格1_334[方音符號],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INDEX(表格1_334[字典編碼], MATCH($X4, 表格1_334[方音符號], 0)), "")</f>
        <v>P</v>
      </c>
      <c r="AA4" s="109" t="str">
        <f t="shared" si="0"/>
        <v>P</v>
      </c>
      <c r="AB4" s="276" t="str">
        <f xml:space="preserve"> IFERROR( INDEX(表格1_334[鍵盤按鍵], MATCH($X4, 表格1_334[方音符號],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INDEX(表格1_334[字典編碼], MATCH($X5, 表格1_334[方音符號], 0)), "")</f>
        <v>b</v>
      </c>
      <c r="AA5" s="114" t="str">
        <f t="shared" si="0"/>
        <v>b</v>
      </c>
      <c r="AB5" s="278" t="str">
        <f xml:space="preserve"> IFERROR( INDEX(表格1_334[鍵盤按鍵], MATCH($X5, 表格1_334[方音符號],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INDEX(表格1_334[字典編碼], MATCH($X6, 表格1_334[方音符號], 0)), "")</f>
        <v>t</v>
      </c>
      <c r="AA6" s="112" t="str">
        <f t="shared" si="0"/>
        <v>t</v>
      </c>
      <c r="AB6" s="274" t="str">
        <f xml:space="preserve"> IFERROR( INDEX(表格1_334[鍵盤按鍵], MATCH($X6, 表格1_334[方音符號],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INDEX(表格1_334[字典編碼], MATCH($X7, 表格1_334[方音符號], 0)), "")</f>
        <v>T</v>
      </c>
      <c r="AA7" s="109" t="str">
        <f t="shared" si="0"/>
        <v>T</v>
      </c>
      <c r="AB7" s="276" t="str">
        <f xml:space="preserve"> IFERROR( INDEX(表格1_334[鍵盤按鍵], MATCH($X7, 表格1_334[方音符號],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INDEX(表格1_334[字典編碼], MATCH($X8, 表格1_334[方音符號], 0)), "")</f>
        <v>n</v>
      </c>
      <c r="AA8" s="114" t="str">
        <f t="shared" si="0"/>
        <v>n</v>
      </c>
      <c r="AB8" s="278" t="str">
        <f xml:space="preserve"> IFERROR( INDEX(表格1_334[鍵盤按鍵], MATCH($X8, 表格1_334[方音符號],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INDEX(表格1_334[字典編碼], MATCH($X9, 表格1_334[方音符號], 0)), "")</f>
        <v>k</v>
      </c>
      <c r="AA9" s="112" t="str">
        <f t="shared" si="0"/>
        <v>k</v>
      </c>
      <c r="AB9" s="274" t="str">
        <f xml:space="preserve"> IFERROR( INDEX(表格1_334[鍵盤按鍵], MATCH($X9, 表格1_334[方音符號],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0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INDEX(表格1_334[字典編碼], MATCH($X10, 表格1_334[方音符號], 0)), "")</f>
        <v>K</v>
      </c>
      <c r="AA10" s="109" t="str">
        <f t="shared" si="0"/>
        <v>K</v>
      </c>
      <c r="AB10" s="276" t="str">
        <f xml:space="preserve"> IFERROR( INDEX(表格1_334[鍵盤按鍵], MATCH($X10, 表格1_334[方音符號],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>
        <f ca="1" xml:space="preserve"> MID(AF10, AU9, 1)</f>
        <v>0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INDEX(表格1_334[字典編碼], MATCH($X11, 表格1_334[方音符號], 0)), "")</f>
        <v>g</v>
      </c>
      <c r="AA11" s="114" t="str">
        <f t="shared" si="0"/>
        <v>g</v>
      </c>
      <c r="AB11" s="278" t="str">
        <f xml:space="preserve"> IFERROR( INDEX(表格1_334[鍵盤按鍵], MATCH($X11, 表格1_334[方音符號],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INDEX(表格1_334[字典編碼], MATCH($X12, 表格1_334[方音符號], 0)), "")</f>
        <v>c</v>
      </c>
      <c r="AA12" s="112" t="str">
        <f t="shared" si="0"/>
        <v>c</v>
      </c>
      <c r="AB12" s="274" t="str">
        <f xml:space="preserve"> IFERROR( INDEX(表格1_334[鍵盤按鍵], MATCH($X12, 表格1_334[方音符號],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INDEX(表格1_334[字典編碼], MATCH($X13, 表格1_334[方音符號], 0)), "")</f>
        <v>C</v>
      </c>
      <c r="AA13" s="109" t="str">
        <f t="shared" si="0"/>
        <v>C</v>
      </c>
      <c r="AB13" s="276" t="str">
        <f xml:space="preserve"> IFERROR( INDEX(表格1_334[鍵盤按鍵], MATCH($X13, 表格1_334[方音符號],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INDEX(表格1_334[字典編碼], MATCH($X14, 表格1_334[方音符號], 0)), "")</f>
        <v>z</v>
      </c>
      <c r="AA14" s="109" t="str">
        <f t="shared" si="0"/>
        <v>z</v>
      </c>
      <c r="AB14" s="276" t="str">
        <f xml:space="preserve"> IFERROR( INDEX(表格1_334[鍵盤按鍵], MATCH($X14, 表格1_334[方音符號],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INDEX(表格1_334[字典編碼], MATCH($X15, 表格1_334[方音符號], 0)), "")</f>
        <v>s</v>
      </c>
      <c r="AA15" s="114" t="str">
        <f t="shared" si="0"/>
        <v>s</v>
      </c>
      <c r="AB15" s="278" t="str">
        <f xml:space="preserve"> IFERROR( INDEX(表格1_334[鍵盤按鍵], MATCH($X15, 表格1_334[方音符號],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INDEX(表格1_334[字典編碼], MATCH($X16, 表格1_334[方音符號], 0)), "")</f>
        <v>h</v>
      </c>
      <c r="AA16" s="116" t="str">
        <f t="shared" si="0"/>
        <v>h</v>
      </c>
      <c r="AB16" s="272" t="str">
        <f xml:space="preserve"> IFERROR( INDEX(表格1_334[鍵盤按鍵], MATCH($X16, 表格1_334[方音符號],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INDEX(表格1_334[字典編碼], MATCH($X17, 表格1_334[方音符號], 0)), "")</f>
        <v>i</v>
      </c>
      <c r="AA17" s="112" t="str">
        <f t="shared" si="0"/>
        <v>i</v>
      </c>
      <c r="AB17" s="274" t="str">
        <f xml:space="preserve"> IFERROR( INDEX(表格1_334[鍵盤按鍵], MATCH($X17, 表格1_334[方音符號],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INDEX(表格1_334[字典編碼], MATCH($X18, 表格1_334[方音符號], 0)), "")</f>
        <v>u</v>
      </c>
      <c r="AA18" s="114" t="str">
        <f t="shared" si="0"/>
        <v>u</v>
      </c>
      <c r="AB18" s="278" t="str">
        <f xml:space="preserve"> IFERROR( INDEX(表格1_334[鍵盤按鍵], MATCH($X18, 表格1_334[方音符號],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INDEX(表格1_334[字典編碼], MATCH($X19, 表格1_334[方音符號], 0)), "")</f>
        <v>a</v>
      </c>
      <c r="AA19" s="112" t="str">
        <f t="shared" si="0"/>
        <v>a</v>
      </c>
      <c r="AB19" s="274" t="str">
        <f xml:space="preserve"> IFERROR( INDEX(表格1_334[鍵盤按鍵], MATCH($X19, 表格1_334[方音符號],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INDEX(表格1_334[字典編碼], MATCH($X20, 表格1_334[方音符號], 0)), "")</f>
        <v>e</v>
      </c>
      <c r="AA20" s="109" t="str">
        <f t="shared" si="0"/>
        <v>e</v>
      </c>
      <c r="AB20" s="276" t="str">
        <f xml:space="preserve"> IFERROR( INDEX(表格1_334[鍵盤按鍵], MATCH($X20, 表格1_334[方音符號],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INDEX(表格1_334[字典編碼], MATCH($X21, 表格1_334[方音符號], 0)), "")</f>
        <v>ø</v>
      </c>
      <c r="AA21" s="284" t="s">
        <v>139</v>
      </c>
      <c r="AB21" s="276" t="str">
        <f xml:space="preserve"> IFERROR( INDEX(表格1_334[鍵盤按鍵], MATCH($X21, 表格1_334[方音符號],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INDEX(表格1_334[字典編碼], MATCH($X22, 表格1_334[方音符號], 0)), "")</f>
        <v>o</v>
      </c>
      <c r="AA22" s="285" t="s">
        <v>304</v>
      </c>
      <c r="AB22" s="278" t="str">
        <f xml:space="preserve"> IFERROR( INDEX(表格1_334[鍵盤按鍵], MATCH($X22, 表格1_334[方音符號],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INDEX(表格1_334[字典編碼], MATCH($X23, 表格1_334[方音符號], 0)), "")</f>
        <v>I</v>
      </c>
      <c r="AA23" s="112" t="str">
        <f t="shared" si="0"/>
        <v>I</v>
      </c>
      <c r="AB23" s="274" t="str">
        <f xml:space="preserve"> IFERROR( INDEX(表格1_334[鍵盤按鍵], MATCH($X23, 表格1_334[方音符號],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INDEX(表格1_334[字典編碼], MATCH($X24, 表格1_334[方音符號], 0)), "")</f>
        <v>U</v>
      </c>
      <c r="AA24" s="109" t="str">
        <f t="shared" si="0"/>
        <v>U</v>
      </c>
      <c r="AB24" s="276" t="str">
        <f xml:space="preserve"> IFERROR( INDEX(表格1_334[鍵盤按鍵], MATCH($X24, 表格1_334[方音符號],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INDEX(表格1_334[字典編碼], MATCH($X25, 表格1_334[方音符號], 0)), "")</f>
        <v>G</v>
      </c>
      <c r="AA25" s="112" t="str">
        <f t="shared" si="0"/>
        <v>G</v>
      </c>
      <c r="AB25" s="274" t="str">
        <f xml:space="preserve"> IFERROR( INDEX(表格1_334[鍵盤按鍵], MATCH($X25, 表格1_334[方音符號],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INDEX(表格1_334[字典編碼], MATCH($X26, 表格1_334[方音符號], 0)), "")</f>
        <v>D</v>
      </c>
      <c r="AA26" s="109" t="str">
        <f t="shared" si="0"/>
        <v>D</v>
      </c>
      <c r="AB26" s="276" t="str">
        <f xml:space="preserve"> IFERROR( INDEX(表格1_334[鍵盤按鍵], MATCH($X26, 表格1_334[方音符號],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INDEX(表格1_334[字典編碼], MATCH($X27, 表格1_334[方音符號], 0)), "")</f>
        <v>B</v>
      </c>
      <c r="AA27" s="114" t="str">
        <f t="shared" si="0"/>
        <v>B</v>
      </c>
      <c r="AB27" s="278" t="str">
        <f xml:space="preserve"> IFERROR( INDEX(表格1_334[鍵盤按鍵], MATCH($X27, 表格1_334[方音符號],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9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0" xml:space="preserve"> IFERROR( MID($A$23, $E29, 1), "")</f>
        <v/>
      </c>
      <c r="O29" s="194" t="str">
        <f t="shared" ref="O29:O44" si="11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INDEX(表格1_334[字典編碼], MATCH($X29, 表格1_334[方音符號], 0)), "")</f>
        <v>m</v>
      </c>
      <c r="AA29" s="109" t="str">
        <f t="shared" si="9"/>
        <v>m</v>
      </c>
      <c r="AB29" s="110" t="str">
        <f xml:space="preserve"> IFERROR( INDEX(表格1_334[鍵盤按鍵], MATCH($X29, 表格1_334[方音符號],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0"/>
        <v/>
      </c>
      <c r="O30" s="194" t="str">
        <f t="shared" si="11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INDEX(表格1_334[字典編碼], MATCH($X30, 表格1_334[方音符號], 0)), "")</f>
        <v>d</v>
      </c>
      <c r="AA30" s="114" t="str">
        <f t="shared" si="9"/>
        <v>d</v>
      </c>
      <c r="AB30" s="115" t="str">
        <f xml:space="preserve"> IFERROR( INDEX(表格1_334[鍵盤按鍵], MATCH($X30, 表格1_334[方音符號],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0"/>
        <v/>
      </c>
      <c r="O31" s="194" t="str">
        <f t="shared" si="11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INDEX(表格1_334[字典編碼], MATCH($X31, 表格1_334[方音符號], 0)), "")</f>
        <v>q</v>
      </c>
      <c r="AA31" s="109" t="str">
        <f t="shared" si="9"/>
        <v>q</v>
      </c>
      <c r="AB31" s="110" t="str">
        <f xml:space="preserve"> IFERROR( INDEX(表格1_334[鍵盤按鍵], MATCH($X31, 表格1_334[方音符號],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0"/>
        <v/>
      </c>
      <c r="O32" s="194" t="str">
        <f t="shared" si="11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INDEX(表格1_334[字典編碼], MATCH($X32, 表格1_334[方音符號], 0)), "")</f>
        <v>j</v>
      </c>
      <c r="AA32" s="112" t="str">
        <f t="shared" si="9"/>
        <v>j</v>
      </c>
      <c r="AB32" s="274" t="str">
        <f xml:space="preserve"> IFERROR( INDEX(表格1_334[鍵盤按鍵], MATCH($X32, 表格1_334[方音符號],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0"/>
        <v/>
      </c>
      <c r="O33" s="194" t="str">
        <f t="shared" si="11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INDEX(表格1_334[字典編碼], MATCH($X33, 表格1_334[方音符號], 0)), "")</f>
        <v>J</v>
      </c>
      <c r="AA33" s="109" t="str">
        <f t="shared" si="9"/>
        <v>J</v>
      </c>
      <c r="AB33" s="276" t="str">
        <f xml:space="preserve"> IFERROR( INDEX(表格1_334[鍵盤按鍵], MATCH($X33, 表格1_334[方音符號],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0"/>
        <v/>
      </c>
      <c r="O34" s="194" t="str">
        <f t="shared" si="11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INDEX(表格1_334[字典編碼], MATCH($X34, 表格1_334[方音符號], 0)), "")</f>
        <v>S</v>
      </c>
      <c r="AA34" s="114" t="str">
        <f t="shared" si="9"/>
        <v>S</v>
      </c>
      <c r="AB34" s="278" t="str">
        <f xml:space="preserve"> IFERROR( INDEX(表格1_334[鍵盤按鍵], MATCH($X34, 表格1_334[方音符號],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0"/>
        <v/>
      </c>
      <c r="O35" s="194" t="str">
        <f t="shared" si="11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INDEX(表格1_334[字典編碼], MATCH($X35, 表格1_334[方音符號], 0)), "")</f>
        <v>Q</v>
      </c>
      <c r="AA35" s="109" t="str">
        <f t="shared" si="9"/>
        <v>Q</v>
      </c>
      <c r="AB35" s="276" t="str">
        <f xml:space="preserve"> IFERROR( INDEX(表格1_334[鍵盤按鍵], MATCH($X35, 表格1_334[方音符號],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0"/>
        <v/>
      </c>
      <c r="O36" s="194" t="str">
        <f t="shared" si="11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INDEX(表格1_334[字典編碼], MATCH($X36, 表格1_334[方音符號], 0)), "")</f>
        <v>L</v>
      </c>
      <c r="AA36" s="109" t="str">
        <f t="shared" si="9"/>
        <v>L</v>
      </c>
      <c r="AB36" s="276" t="str">
        <f xml:space="preserve"> IFERROR( INDEX(表格1_334[鍵盤按鍵], MATCH($X36, 表格1_334[方音符號],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0"/>
        <v/>
      </c>
      <c r="O37" s="194" t="str">
        <f t="shared" si="11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INDEX(表格1_334[字典編碼], MATCH($X37, 表格1_334[方音符號], 0)), "")</f>
        <v>M</v>
      </c>
      <c r="AA37" s="109" t="str">
        <f t="shared" si="9"/>
        <v>M</v>
      </c>
      <c r="AB37" s="276" t="str">
        <f xml:space="preserve"> IFERROR( INDEX(表格1_334[鍵盤按鍵], MATCH($X37, 表格1_334[方音符號],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0"/>
        <v/>
      </c>
      <c r="O38" s="194" t="str">
        <f t="shared" si="11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INDEX(表格1_334[字典編碼], MATCH($X38, 表格1_334[方音符號], 0)), "")</f>
        <v>Y</v>
      </c>
      <c r="AA38" s="114" t="str">
        <f t="shared" si="9"/>
        <v>Y</v>
      </c>
      <c r="AB38" s="278" t="str">
        <f xml:space="preserve"> IFERROR( INDEX(表格1_334[鍵盤按鍵], MATCH($X38, 表格1_334[方音符號],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0"/>
        <v/>
      </c>
      <c r="O39" s="194" t="str">
        <f t="shared" si="11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9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0"/>
        <v/>
      </c>
      <c r="O40" s="194" t="str">
        <f t="shared" si="11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INDEX(表格1_334[字典編碼], MATCH($X40, 表格1_334[方音符號], 0)), "")</f>
        <v>2</v>
      </c>
      <c r="AA40" s="112" t="str">
        <f t="shared" si="0"/>
        <v>2</v>
      </c>
      <c r="AB40" s="274" t="str">
        <f xml:space="preserve"> IFERROR( INDEX(表格1_334[鍵盤按鍵], MATCH($X40, 表格1_334[方音符號],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0"/>
        <v/>
      </c>
      <c r="O41" s="194" t="str">
        <f t="shared" si="11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INDEX(表格1_334[字典編碼], MATCH($X41, 表格1_334[方音符號], 0)), "")</f>
        <v>3</v>
      </c>
      <c r="AA41" s="109" t="str">
        <f t="shared" si="0"/>
        <v>3</v>
      </c>
      <c r="AB41" s="276" t="str">
        <f xml:space="preserve"> IFERROR( INDEX(表格1_334[鍵盤按鍵], MATCH($X41, 表格1_334[方音符號],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0"/>
        <v/>
      </c>
      <c r="O42" s="194" t="str">
        <f t="shared" si="11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INDEX(表格1_334[字典編碼], MATCH($X42, 表格1_334[方音符號], 0)), "")</f>
        <v>5</v>
      </c>
      <c r="AA42" s="109" t="str">
        <f t="shared" si="0"/>
        <v>5</v>
      </c>
      <c r="AB42" s="276" t="str">
        <f xml:space="preserve"> IFERROR( INDEX(表格1_334[鍵盤按鍵], MATCH($X42, 表格1_334[方音符號],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0"/>
        <v/>
      </c>
      <c r="O43" s="194" t="str">
        <f t="shared" si="11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INDEX(表格1_334[字典編碼], MATCH($X43, 表格1_334[方音符號], 0)), "")</f>
        <v>7</v>
      </c>
      <c r="AA43" s="109" t="str">
        <f t="shared" si="0"/>
        <v>7</v>
      </c>
      <c r="AB43" s="276" t="str">
        <f xml:space="preserve"> IFERROR( INDEX(表格1_334[鍵盤按鍵], MATCH($X43, 表格1_334[方音符號],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0"/>
        <v/>
      </c>
      <c r="O44" s="194" t="str">
        <f t="shared" si="11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0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INDEX(表格1_334[字典編碼], MATCH($X45, 表格1_334[方音符號], 0)), "")</f>
        <v/>
      </c>
      <c r="AA45" s="116"/>
      <c r="AB45" s="272" t="str">
        <f xml:space="preserve"> IFERROR( INDEX(表格1_334[鍵盤按鍵], MATCH($X45, 表格1_334[方音符號],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INDEX(表格1_334[字典編碼], MATCH($X46, 表格1_334[方音符號], 0)), "")</f>
        <v/>
      </c>
      <c r="AA46" s="112"/>
      <c r="AB46" s="274" t="str">
        <f xml:space="preserve"> IFERROR( INDEX(表格1_334[鍵盤按鍵], MATCH($X46, 表格1_334[方音符號],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INDEX(表格1_334[字典編碼], MATCH($X47, 表格1_334[方音符號], 0)), "")</f>
        <v/>
      </c>
      <c r="AA47" s="109"/>
      <c r="AB47" s="276" t="str">
        <f xml:space="preserve"> IFERROR( INDEX(表格1_334[鍵盤按鍵], MATCH($X47, 表格1_334[方音符號],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INDEX(表格1_334[字典編碼], MATCH($X48, 表格1_334[方音符號], 0)), "")</f>
        <v/>
      </c>
      <c r="AA48" s="109"/>
      <c r="AB48" s="276" t="str">
        <f xml:space="preserve"> IFERROR( INDEX(表格1_334[鍵盤按鍵], MATCH($X48, 表格1_334[方音符號],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INDEX(表格1_334[字典編碼], MATCH($X49, 表格1_334[方音符號], 0)), "")</f>
        <v/>
      </c>
      <c r="AA49" s="109"/>
      <c r="AB49" s="276" t="str">
        <f xml:space="preserve"> IFERROR( INDEX(表格1_334[鍵盤按鍵], MATCH($X49, 表格1_334[方音符號],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INDEX(表格1_334[字典編碼], MATCH($X50, 表格1_334[方音符號], 0)), "")</f>
        <v/>
      </c>
      <c r="AA50" s="109"/>
      <c r="AB50" s="276" t="str">
        <f xml:space="preserve"> IFERROR( INDEX(表格1_334[鍵盤按鍵], MATCH($X50, 表格1_334[方音符號],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INDEX(表格1_334[字典編碼], MATCH($X51, 表格1_334[方音符號], 0)), "")</f>
        <v/>
      </c>
      <c r="AA51" s="114"/>
      <c r="AB51" s="278" t="str">
        <f xml:space="preserve"> IFERROR( INDEX(表格1_334[鍵盤按鍵], MATCH($X51, 表格1_334[方音符號],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INDEX(表格1_334[字典編碼], MATCH($X52, 表格1_334[方音符號], 0)), "")</f>
        <v/>
      </c>
      <c r="AA52" s="112"/>
      <c r="AB52" s="274" t="str">
        <f xml:space="preserve"> IFERROR( INDEX(表格1_334[鍵盤按鍵], MATCH($X52, 表格1_334[方音符號],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INDEX(表格1_334[字典編碼], MATCH($X53, 表格1_334[方音符號], 0)), "")</f>
        <v/>
      </c>
      <c r="AA53" s="114"/>
      <c r="AB53" s="278" t="str">
        <f xml:space="preserve"> IFERROR( INDEX(表格1_334[鍵盤按鍵], MATCH($X53, 表格1_334[方音符號],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INDEX(表格1_334[字典編碼], MATCH($X54, 表格1_334[方音符號], 0)), "")</f>
        <v/>
      </c>
      <c r="AA54" s="112"/>
      <c r="AB54" s="274" t="str">
        <f xml:space="preserve"> IFERROR( INDEX(表格1_334[鍵盤按鍵], MATCH($X54, 表格1_334[方音符號],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INDEX(表格1_334[字典編碼], MATCH($X55, 表格1_334[方音符號], 0)), "")</f>
        <v/>
      </c>
      <c r="AA55" s="109"/>
      <c r="AB55" s="276" t="str">
        <f xml:space="preserve"> IFERROR( INDEX(表格1_334[鍵盤按鍵], MATCH($X55, 表格1_334[方音符號],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INDEX(表格1_334[字典編碼], MATCH($X56, 表格1_334[方音符號], 0)), "")</f>
        <v/>
      </c>
      <c r="AA56" s="109"/>
      <c r="AB56" s="276" t="str">
        <f xml:space="preserve"> IFERROR( INDEX(表格1_334[鍵盤按鍵], MATCH($X56, 表格1_334[方音符號],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INDEX(表格1_334[字典編碼], MATCH($X57, 表格1_334[方音符號], 0)), "")</f>
        <v/>
      </c>
      <c r="AA57" s="109"/>
      <c r="AB57" s="276" t="str">
        <f xml:space="preserve"> IFERROR( INDEX(表格1_334[鍵盤按鍵], MATCH($X57, 表格1_334[方音符號],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INDEX(表格1_334[字典編碼], MATCH($X58, 表格1_334[方音符號], 0)), "")</f>
        <v/>
      </c>
      <c r="AA58" s="114"/>
      <c r="AB58" s="278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696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12</v>
      </c>
      <c r="E3" s="180" cm="1">
        <f t="array" ref="E3" xml:space="preserve"> ROW() - ROW($2:$2)</f>
        <v>1</v>
      </c>
      <c r="F3" s="191" t="str">
        <f xml:space="preserve"> IFERROR( MID($A$6, $E3, 1), "")</f>
        <v>b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>b</v>
      </c>
      <c r="O3" s="194" t="str">
        <f xml:space="preserve"> IFERROR( MID($A$22, $E3, 1), "")</f>
        <v>ㄅ</v>
      </c>
      <c r="Q3" s="180">
        <v>1</v>
      </c>
      <c r="R3" s="183" t="str">
        <f>G3</f>
        <v>1</v>
      </c>
      <c r="S3" s="197" t="str">
        <f>F3</f>
        <v>b</v>
      </c>
      <c r="T3" s="183" t="str">
        <f xml:space="preserve"> INDEX($K$3:$K$44, MATCH(表格1_33[[#This Row],[鍵盤位置]], $J$3:$J$44,0))</f>
        <v>ㄅ</v>
      </c>
      <c r="V3" s="242" t="str">
        <f xml:space="preserve"> INDEX($K$3:$K$44, MATCH(表格1_33[[#This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55</v>
      </c>
      <c r="E4" s="180" cm="1">
        <f t="array" ref="E4" xml:space="preserve"> ROW() - ROW($2:$2)</f>
        <v>2</v>
      </c>
      <c r="F4" s="200" t="str">
        <f t="shared" ref="F4:F44" si="0" xml:space="preserve"> IFERROR( MID($A$6, $E4, 1), "")</f>
        <v>p</v>
      </c>
      <c r="G4" s="201" t="str">
        <f t="shared" ref="G4:G44" si="1" xml:space="preserve"> IFERROR( MID($A$7, $E4, 1), "")</f>
        <v>q</v>
      </c>
      <c r="I4" s="180">
        <v>2</v>
      </c>
      <c r="J4" s="195" t="str">
        <f t="shared" ref="J4:J44" si="2" xml:space="preserve"> IFERROR( MID($A$15, $E4, 1), "")</f>
        <v>q</v>
      </c>
      <c r="K4" s="195" t="str">
        <f t="shared" ref="K4:K44" si="3" xml:space="preserve"> IFERROR( MID($A$16, $E4, 1), "")</f>
        <v>ㄆ</v>
      </c>
      <c r="M4" s="180">
        <v>2</v>
      </c>
      <c r="N4" s="194" t="str">
        <f t="shared" ref="N4:N44" si="4" xml:space="preserve"> IFERROR( MID($A$21, $E4, 1), "")</f>
        <v>p</v>
      </c>
      <c r="O4" s="194" t="str">
        <f t="shared" ref="O4:O44" si="5" xml:space="preserve"> IFERROR( MID($A$22, $E4, 1), "")</f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183" t="str">
        <f xml:space="preserve"> INDEX($K$3:$K$44, MATCH(表格1_33[[#This Row],[鍵盤位置]], $J$3:$J$44,0))</f>
        <v>ㄆ</v>
      </c>
      <c r="V4" s="242" t="str">
        <f xml:space="preserve"> INDEX($K$3:$K$44, MATCH(表格1_33[[#This Row],[鍵盤位置]], $J$3:$J$44,0))</f>
        <v>ㄆ</v>
      </c>
      <c r="W4" s="243" t="s">
        <v>38</v>
      </c>
      <c r="X4" s="244" t="s">
        <v>406</v>
      </c>
    </row>
    <row r="5" spans="1:24">
      <c r="A5" s="180">
        <f xml:space="preserve"> SEARCH("|",$A$2,A4+1)</f>
        <v>98</v>
      </c>
      <c r="E5" s="180" cm="1">
        <f t="array" ref="E5" xml:space="preserve"> ROW() - ROW($2:$2)</f>
        <v>3</v>
      </c>
      <c r="F5" s="200" t="str">
        <f t="shared" si="0"/>
        <v>m</v>
      </c>
      <c r="G5" s="201" t="str">
        <f t="shared" si="1"/>
        <v>a</v>
      </c>
      <c r="I5" s="180">
        <v>3</v>
      </c>
      <c r="J5" s="195" t="str">
        <f t="shared" si="2"/>
        <v>a</v>
      </c>
      <c r="K5" s="195" t="str">
        <f t="shared" si="3"/>
        <v>ㄇ</v>
      </c>
      <c r="M5" s="180">
        <v>3</v>
      </c>
      <c r="N5" s="194" t="str">
        <f t="shared" si="4"/>
        <v>m</v>
      </c>
      <c r="O5" s="194" t="str">
        <f t="shared" si="5"/>
        <v>ㄇ</v>
      </c>
      <c r="Q5" s="180">
        <v>3</v>
      </c>
      <c r="R5" s="183" t="str">
        <f t="shared" si="6"/>
        <v>a</v>
      </c>
      <c r="S5" s="197" t="str">
        <f t="shared" si="7"/>
        <v>m</v>
      </c>
      <c r="T5" s="183" t="str">
        <f xml:space="preserve"> INDEX($K$3:$K$44, MATCH(表格1_33[[#This Row],[鍵盤位置]], $J$3:$J$44,0))</f>
        <v>ㄇ</v>
      </c>
      <c r="V5" s="242" t="str">
        <f xml:space="preserve"> INDEX($K$3:$K$44, MATCH(表格1_33[[#This Row],[鍵盤位置]], $J$3:$J$44,0))</f>
        <v>ㄇ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bpmfdtnlgkhjqxZCSrzcsiuvaoeEAIOUMNKGR12345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0"/>
        <v>f</v>
      </c>
      <c r="G6" s="206" t="str">
        <f t="shared" si="1"/>
        <v>z</v>
      </c>
      <c r="I6" s="180">
        <v>4</v>
      </c>
      <c r="J6" s="195" t="str">
        <f t="shared" si="2"/>
        <v>z</v>
      </c>
      <c r="K6" s="195" t="str">
        <f t="shared" si="3"/>
        <v>ㄈ</v>
      </c>
      <c r="M6" s="180">
        <v>4</v>
      </c>
      <c r="N6" s="194" t="str">
        <f t="shared" si="4"/>
        <v>f</v>
      </c>
      <c r="O6" s="194" t="str">
        <f t="shared" si="5"/>
        <v>ㄈ</v>
      </c>
      <c r="Q6" s="180">
        <v>4</v>
      </c>
      <c r="R6" s="183" t="str">
        <f t="shared" si="6"/>
        <v>z</v>
      </c>
      <c r="S6" s="197" t="str">
        <f t="shared" si="7"/>
        <v>f</v>
      </c>
      <c r="T6" s="183" t="str">
        <f xml:space="preserve"> INDEX($K$3:$K$44, MATCH(表格1_33[[#This Row],[鍵盤位置]], $J$3:$J$44,0))</f>
        <v>ㄈ</v>
      </c>
      <c r="V6" s="242" t="str">
        <f xml:space="preserve"> INDEX($K$3:$K$44, MATCH(表格1_33[[#This Row],[鍵盤位置]], $J$3:$J$44,0))</f>
        <v>ㄈ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1qaz2wsxedcrfv5tgbyhnujm8ik,9ol.0p;/- 6347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0"/>
        <v>d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>d</v>
      </c>
      <c r="O7" s="194" t="str">
        <f t="shared" si="5"/>
        <v>ㄉ</v>
      </c>
      <c r="Q7" s="180">
        <v>5</v>
      </c>
      <c r="R7" s="183" t="str">
        <f t="shared" si="6"/>
        <v>2</v>
      </c>
      <c r="S7" s="197" t="str">
        <f t="shared" si="7"/>
        <v>d</v>
      </c>
      <c r="T7" s="183" t="str">
        <f xml:space="preserve"> INDEX($K$3:$K$44, MATCH(表格1_33[[#This Row],[鍵盤位置]], $J$3:$J$44,0))</f>
        <v>ㄉ</v>
      </c>
      <c r="V7" s="242" t="str">
        <f xml:space="preserve"> INDEX($K$3:$K$44, MATCH(表格1_33[[#This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>t</v>
      </c>
      <c r="O8" s="194" t="str">
        <f t="shared" si="5"/>
        <v>ㄊ</v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INDEX($K$3:$K$44, MATCH(表格1_33[[#This Row],[鍵盤位置]], $J$3:$J$44,0))</f>
        <v>ㄊ</v>
      </c>
      <c r="V8" s="242" t="str">
        <f xml:space="preserve"> INDEX($K$3:$K$44, MATCH(表格1_33[[#This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>n</v>
      </c>
      <c r="O9" s="194" t="str">
        <f t="shared" si="5"/>
        <v>ㄋ</v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INDEX($K$3:$K$44, MATCH(表格1_33[[#This Row],[鍵盤位置]], $J$3:$J$44,0))</f>
        <v>ㄋ</v>
      </c>
      <c r="V9" s="242" t="str">
        <f xml:space="preserve"> INDEX($K$3:$K$44, MATCH(表格1_33[[#This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>l</v>
      </c>
      <c r="O10" s="194" t="str">
        <f t="shared" si="5"/>
        <v>ㄌ</v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INDEX($K$3:$K$44, MATCH(表格1_33[[#This Row],[鍵盤位置]], $J$3:$J$44,0))</f>
        <v>ㄌ</v>
      </c>
      <c r="V10" s="242" t="str">
        <f xml:space="preserve"> INDEX($K$3:$K$44, MATCH(表格1_33[[#This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697</v>
      </c>
      <c r="E11" s="180" cm="1">
        <f t="array" ref="E11" xml:space="preserve"> ROW() - ROW($2:$2)</f>
        <v>9</v>
      </c>
      <c r="F11" s="191" t="str">
        <f t="shared" si="0"/>
        <v>g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>g</v>
      </c>
      <c r="O11" s="194" t="str">
        <f t="shared" si="5"/>
        <v>ㄍ</v>
      </c>
      <c r="Q11" s="180">
        <v>9</v>
      </c>
      <c r="R11" s="183" t="str">
        <f t="shared" si="6"/>
        <v>e</v>
      </c>
      <c r="S11" s="197" t="str">
        <f t="shared" si="7"/>
        <v>g</v>
      </c>
      <c r="T11" s="183" t="str">
        <f xml:space="preserve"> INDEX($K$3:$K$44, MATCH(表格1_33[[#This Row],[鍵盤位置]], $J$3:$J$44,0))</f>
        <v>ㄍ</v>
      </c>
      <c r="V11" s="242" t="str">
        <f xml:space="preserve"> INDEX($K$3:$K$44, MATCH(表格1_33[[#This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k</v>
      </c>
      <c r="G12" s="201" t="str">
        <f t="shared" si="1"/>
        <v>d</v>
      </c>
      <c r="I12" s="180">
        <v>10</v>
      </c>
      <c r="J12" s="195" t="str">
        <f t="shared" si="2"/>
        <v>d</v>
      </c>
      <c r="K12" s="195" t="str">
        <f t="shared" si="3"/>
        <v>ㄎ</v>
      </c>
      <c r="M12" s="180">
        <v>10</v>
      </c>
      <c r="N12" s="194" t="str">
        <f t="shared" si="4"/>
        <v>k</v>
      </c>
      <c r="O12" s="194" t="str">
        <f t="shared" si="5"/>
        <v>ㄎ</v>
      </c>
      <c r="Q12" s="180">
        <v>10</v>
      </c>
      <c r="R12" s="183" t="str">
        <f t="shared" si="6"/>
        <v>d</v>
      </c>
      <c r="S12" s="197" t="str">
        <f t="shared" si="7"/>
        <v>k</v>
      </c>
      <c r="T12" s="183" t="str">
        <f xml:space="preserve"> INDEX($K$3:$K$44, MATCH(表格1_33[[#This Row],[鍵盤位置]], $J$3:$J$44,0))</f>
        <v>ㄎ</v>
      </c>
      <c r="V12" s="242" t="str">
        <f xml:space="preserve"> INDEX($K$3:$K$44, MATCH(表格1_33[[#This Row],[鍵盤位置]], $J$3:$J$44,0))</f>
        <v>ㄎ</v>
      </c>
      <c r="W12" s="243" t="s">
        <v>70</v>
      </c>
      <c r="X12" s="244" t="s">
        <v>398</v>
      </c>
    </row>
    <row r="13" spans="1:24">
      <c r="A13" s="180">
        <f xml:space="preserve"> SEARCH("|",$A$11,A12+1)</f>
        <v>52</v>
      </c>
      <c r="E13" s="180" cm="1">
        <f t="array" ref="E13" xml:space="preserve"> ROW() - ROW($2:$2)</f>
        <v>11</v>
      </c>
      <c r="F13" s="210" t="str">
        <f t="shared" si="0"/>
        <v>h</v>
      </c>
      <c r="G13" s="211" t="str">
        <f t="shared" si="1"/>
        <v>c</v>
      </c>
      <c r="I13" s="180">
        <v>11</v>
      </c>
      <c r="J13" s="195" t="str">
        <f t="shared" si="2"/>
        <v>c</v>
      </c>
      <c r="K13" s="195" t="str">
        <f t="shared" si="3"/>
        <v>ㄏ</v>
      </c>
      <c r="M13" s="180">
        <v>11</v>
      </c>
      <c r="N13" s="194" t="str">
        <f t="shared" si="4"/>
        <v>h</v>
      </c>
      <c r="O13" s="194" t="str">
        <f t="shared" si="5"/>
        <v>ㄏ</v>
      </c>
      <c r="Q13" s="180">
        <v>11</v>
      </c>
      <c r="R13" s="183" t="str">
        <f t="shared" si="6"/>
        <v>c</v>
      </c>
      <c r="S13" s="197" t="str">
        <f t="shared" si="7"/>
        <v>h</v>
      </c>
      <c r="T13" s="183" t="str">
        <f xml:space="preserve"> INDEX($K$3:$K$44, MATCH(表格1_33[[#This Row],[鍵盤位置]], $J$3:$J$44,0))</f>
        <v>ㄏ</v>
      </c>
      <c r="V13" s="242" t="str">
        <f xml:space="preserve"> INDEX($K$3:$K$44, MATCH(表格1_33[[#This Row],[鍵盤位置]], $J$3:$J$44,0))</f>
        <v>ㄏ</v>
      </c>
      <c r="W13" s="243" t="s">
        <v>95</v>
      </c>
      <c r="X13" s="244" t="s">
        <v>395</v>
      </c>
    </row>
    <row r="14" spans="1:24">
      <c r="A14" s="180">
        <f xml:space="preserve"> SEARCH("|",$A$11,A13+1)</f>
        <v>96</v>
      </c>
      <c r="E14" s="180" cm="1">
        <f t="array" ref="E14" xml:space="preserve"> ROW() - ROW($2:$2)</f>
        <v>12</v>
      </c>
      <c r="F14" s="191" t="str">
        <f t="shared" si="0"/>
        <v>j</v>
      </c>
      <c r="G14" s="192" t="str">
        <f t="shared" si="1"/>
        <v>r</v>
      </c>
      <c r="I14" s="180">
        <v>12</v>
      </c>
      <c r="J14" s="195" t="str">
        <f t="shared" si="2"/>
        <v>r</v>
      </c>
      <c r="K14" s="195" t="str">
        <f t="shared" si="3"/>
        <v>ㄐ</v>
      </c>
      <c r="M14" s="180">
        <v>12</v>
      </c>
      <c r="N14" s="194" t="str">
        <f t="shared" si="4"/>
        <v>j</v>
      </c>
      <c r="O14" s="194" t="str">
        <f t="shared" si="5"/>
        <v>ㄐ</v>
      </c>
      <c r="Q14" s="180">
        <v>12</v>
      </c>
      <c r="R14" s="183" t="str">
        <f t="shared" si="6"/>
        <v>r</v>
      </c>
      <c r="S14" s="197" t="str">
        <f t="shared" si="7"/>
        <v>j</v>
      </c>
      <c r="T14" s="183" t="str">
        <f xml:space="preserve"> INDEX($K$3:$K$44, MATCH(表格1_33[[#This Row],[鍵盤位置]], $J$3:$J$44,0))</f>
        <v>ㄐ</v>
      </c>
      <c r="V14" s="242" t="str">
        <f xml:space="preserve"> INDEX($K$3:$K$44, MATCH(表格1_33[[#This Row],[鍵盤位置]], $J$3:$J$44,0))</f>
        <v>ㄐ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E15" s="180" cm="1">
        <f t="array" ref="E15" xml:space="preserve"> ROW() - ROW($2:$2)</f>
        <v>13</v>
      </c>
      <c r="F15" s="200" t="str">
        <f t="shared" si="0"/>
        <v>q</v>
      </c>
      <c r="G15" s="201" t="str">
        <f t="shared" si="1"/>
        <v>f</v>
      </c>
      <c r="I15" s="180">
        <v>13</v>
      </c>
      <c r="J15" s="195" t="str">
        <f t="shared" si="2"/>
        <v>f</v>
      </c>
      <c r="K15" s="195" t="str">
        <f t="shared" si="3"/>
        <v>ㄑ</v>
      </c>
      <c r="M15" s="180">
        <v>13</v>
      </c>
      <c r="N15" s="194" t="str">
        <f t="shared" si="4"/>
        <v>q</v>
      </c>
      <c r="O15" s="194" t="str">
        <f t="shared" si="5"/>
        <v>ㄑ</v>
      </c>
      <c r="Q15" s="180">
        <v>13</v>
      </c>
      <c r="R15" s="183" t="str">
        <f t="shared" si="6"/>
        <v>f</v>
      </c>
      <c r="S15" s="197" t="str">
        <f t="shared" si="7"/>
        <v>q</v>
      </c>
      <c r="T15" s="183" t="str">
        <f xml:space="preserve"> INDEX($K$3:$K$44, MATCH(表格1_33[[#This Row],[鍵盤位置]], $J$3:$J$44,0))</f>
        <v>ㄑ</v>
      </c>
      <c r="V15" s="242" t="str">
        <f xml:space="preserve"> INDEX($K$3:$K$44, MATCH(表格1_33[[#This Row],[鍵盤位置]], $J$3:$J$44,0))</f>
        <v>ㄑ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E16" s="180" cm="1">
        <f t="array" ref="E16" xml:space="preserve"> ROW() - ROW($2:$2)</f>
        <v>14</v>
      </c>
      <c r="F16" s="205" t="str">
        <f t="shared" si="0"/>
        <v>x</v>
      </c>
      <c r="G16" s="206" t="str">
        <f t="shared" si="1"/>
        <v>v</v>
      </c>
      <c r="I16" s="180">
        <v>14</v>
      </c>
      <c r="J16" s="195" t="str">
        <f t="shared" si="2"/>
        <v>v</v>
      </c>
      <c r="K16" s="195" t="str">
        <f t="shared" si="3"/>
        <v>ㄒ</v>
      </c>
      <c r="M16" s="180">
        <v>14</v>
      </c>
      <c r="N16" s="194" t="str">
        <f t="shared" si="4"/>
        <v>x</v>
      </c>
      <c r="O16" s="194" t="str">
        <f t="shared" si="5"/>
        <v>ㄒ</v>
      </c>
      <c r="Q16" s="180">
        <v>14</v>
      </c>
      <c r="R16" s="183" t="str">
        <f t="shared" si="6"/>
        <v>v</v>
      </c>
      <c r="S16" s="197" t="str">
        <f t="shared" si="7"/>
        <v>x</v>
      </c>
      <c r="T16" s="183" t="str">
        <f xml:space="preserve"> INDEX($K$3:$K$44, MATCH(表格1_33[[#This Row],[鍵盤位置]], $J$3:$J$44,0))</f>
        <v>ㄒ</v>
      </c>
      <c r="V16" s="242" t="str">
        <f xml:space="preserve"> INDEX($K$3:$K$44, MATCH(表格1_33[[#This Row],[鍵盤位置]], $J$3:$J$44,0))</f>
        <v>ㄒ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Z</v>
      </c>
      <c r="G17" s="192" t="str">
        <f t="shared" si="1"/>
        <v>5</v>
      </c>
      <c r="I17" s="180">
        <v>15</v>
      </c>
      <c r="J17" s="195" t="str">
        <f t="shared" si="2"/>
        <v>5</v>
      </c>
      <c r="K17" s="195" t="str">
        <f t="shared" si="3"/>
        <v>ㄓ</v>
      </c>
      <c r="M17" s="180">
        <v>15</v>
      </c>
      <c r="N17" s="194" t="str">
        <f t="shared" si="4"/>
        <v>Z</v>
      </c>
      <c r="O17" s="194" t="str">
        <f t="shared" si="5"/>
        <v>ㄓ</v>
      </c>
      <c r="Q17" s="180">
        <v>15</v>
      </c>
      <c r="R17" s="183" t="str">
        <f t="shared" si="6"/>
        <v>5</v>
      </c>
      <c r="S17" s="197" t="str">
        <f t="shared" si="7"/>
        <v>Z</v>
      </c>
      <c r="T17" s="183" t="str">
        <f xml:space="preserve"> INDEX($K$3:$K$44, MATCH(表格1_33[[#This Row],[鍵盤位置]], $J$3:$J$44,0))</f>
        <v>ㄓ</v>
      </c>
      <c r="V17" s="242" t="str">
        <f xml:space="preserve"> INDEX($K$3:$K$44, MATCH(表格1_33[[#This Row],[鍵盤位置]], $J$3:$J$44,0))</f>
        <v>ㄓ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t</v>
      </c>
      <c r="I18" s="180">
        <v>16</v>
      </c>
      <c r="J18" s="195" t="str">
        <f t="shared" si="2"/>
        <v>t</v>
      </c>
      <c r="K18" s="195" t="str">
        <f t="shared" si="3"/>
        <v>ㄔ</v>
      </c>
      <c r="M18" s="180">
        <v>16</v>
      </c>
      <c r="N18" s="194" t="str">
        <f t="shared" si="4"/>
        <v>C</v>
      </c>
      <c r="O18" s="194" t="str">
        <f t="shared" si="5"/>
        <v>ㄔ</v>
      </c>
      <c r="Q18" s="180">
        <v>16</v>
      </c>
      <c r="R18" s="183" t="str">
        <f t="shared" si="6"/>
        <v>t</v>
      </c>
      <c r="S18" s="197" t="str">
        <f t="shared" si="7"/>
        <v>C</v>
      </c>
      <c r="T18" s="183" t="str">
        <f xml:space="preserve"> INDEX($K$3:$K$44, MATCH(表格1_33[[#This Row],[鍵盤位置]], $J$3:$J$44,0))</f>
        <v>ㄔ</v>
      </c>
      <c r="V18" s="242" t="str">
        <f xml:space="preserve"> INDEX($K$3:$K$44, MATCH(表格1_33[[#This Row],[鍵盤位置]], $J$3:$J$44,0))</f>
        <v>ㄔ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g</v>
      </c>
      <c r="I19" s="180">
        <v>17</v>
      </c>
      <c r="J19" s="195" t="str">
        <f t="shared" si="2"/>
        <v>g</v>
      </c>
      <c r="K19" s="195" t="str">
        <f t="shared" si="3"/>
        <v>ㄕ</v>
      </c>
      <c r="M19" s="180">
        <v>17</v>
      </c>
      <c r="N19" s="194" t="str">
        <f t="shared" si="4"/>
        <v>S</v>
      </c>
      <c r="O19" s="194" t="str">
        <f t="shared" si="5"/>
        <v>ㄕ</v>
      </c>
      <c r="Q19" s="180">
        <v>17</v>
      </c>
      <c r="R19" s="183" t="str">
        <f t="shared" si="6"/>
        <v>g</v>
      </c>
      <c r="S19" s="197" t="str">
        <f t="shared" si="7"/>
        <v>S</v>
      </c>
      <c r="T19" s="183" t="str">
        <f xml:space="preserve"> INDEX($K$3:$K$44, MATCH(表格1_33[[#This Row],[鍵盤位置]], $J$3:$J$44,0))</f>
        <v>ㄕ</v>
      </c>
      <c r="V19" s="242" t="str">
        <f xml:space="preserve"> INDEX($K$3:$K$44, MATCH(表格1_33[[#This Row],[鍵盤位置]], $J$3:$J$44,0))</f>
        <v>ㄕ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r</v>
      </c>
      <c r="G20" s="217" t="str">
        <f t="shared" si="1"/>
        <v>b</v>
      </c>
      <c r="I20" s="180">
        <v>18</v>
      </c>
      <c r="J20" s="195" t="str">
        <f t="shared" si="2"/>
        <v>b</v>
      </c>
      <c r="K20" s="195" t="str">
        <f t="shared" si="3"/>
        <v>ㄖ</v>
      </c>
      <c r="M20" s="180">
        <v>18</v>
      </c>
      <c r="N20" s="194" t="str">
        <f t="shared" si="4"/>
        <v>r</v>
      </c>
      <c r="O20" s="194" t="str">
        <f t="shared" si="5"/>
        <v>ㄖ</v>
      </c>
      <c r="Q20" s="180">
        <v>18</v>
      </c>
      <c r="R20" s="183" t="str">
        <f t="shared" si="6"/>
        <v>b</v>
      </c>
      <c r="S20" s="197" t="str">
        <f t="shared" si="7"/>
        <v>r</v>
      </c>
      <c r="T20" s="183" t="str">
        <f xml:space="preserve"> INDEX($K$3:$K$44, MATCH(表格1_33[[#This Row],[鍵盤位置]], $J$3:$J$44,0))</f>
        <v>ㄖ</v>
      </c>
      <c r="V20" s="242" t="str">
        <f xml:space="preserve"> INDEX($K$3:$K$44, MATCH(表格1_33[[#This Row],[鍵盤位置]], $J$3:$J$44,0))</f>
        <v>ㄖ</v>
      </c>
      <c r="W20" s="243" t="s">
        <v>308</v>
      </c>
      <c r="X20" s="244" t="s">
        <v>392</v>
      </c>
    </row>
    <row r="21" spans="1:24">
      <c r="A21" s="189" t="str">
        <f>A6</f>
        <v>bpmfdtnlgkhjqxZCSrzcsiuvaoeEAIOUMNKGR12345</v>
      </c>
      <c r="B21" s="180">
        <f xml:space="preserve"> LEN(A21)</f>
        <v>42</v>
      </c>
      <c r="E21" s="180" cm="1">
        <f t="array" ref="E21" xml:space="preserve"> ROW() - ROW($2:$2)</f>
        <v>19</v>
      </c>
      <c r="F21" s="221" t="str">
        <f t="shared" si="0"/>
        <v>z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ㄗ</v>
      </c>
      <c r="M21" s="180">
        <v>19</v>
      </c>
      <c r="N21" s="194" t="str">
        <f t="shared" si="4"/>
        <v>z</v>
      </c>
      <c r="O21" s="194" t="str">
        <f t="shared" si="5"/>
        <v>ㄗ</v>
      </c>
      <c r="Q21" s="180">
        <v>19</v>
      </c>
      <c r="R21" s="183" t="str">
        <f t="shared" si="6"/>
        <v>y</v>
      </c>
      <c r="S21" s="197" t="str">
        <f t="shared" si="7"/>
        <v>z</v>
      </c>
      <c r="T21" s="183" t="str">
        <f xml:space="preserve"> INDEX($K$3:$K$44, MATCH(表格1_33[[#This Row],[鍵盤位置]], $J$3:$J$44,0))</f>
        <v>ㄗ</v>
      </c>
      <c r="V21" s="242" t="str">
        <f xml:space="preserve"> INDEX($K$3:$K$44, MATCH(表格1_33[[#This Row],[鍵盤位置]], $J$3:$J$44,0))</f>
        <v>ㄗ</v>
      </c>
      <c r="W21" s="243" t="s">
        <v>643</v>
      </c>
      <c r="X21" s="244" t="s">
        <v>394</v>
      </c>
    </row>
    <row r="22" spans="1:24">
      <c r="A22" s="189" t="str">
        <f>A16</f>
        <v xml:space="preserve">ㄅㄆㄇㄈㄉㄊㄋㄌㄍㄎㄏㄐㄑㄒㄓㄔㄕㄖㄗㄘㄙㄧㄨㄩㄚㄛㄜㄝㄞㄟㄠㄡㄢㄣㄤㄥㄦˉˊˇˋ˙ </v>
      </c>
      <c r="B22" s="180">
        <f xml:space="preserve"> LEN(A22)</f>
        <v>43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>c</v>
      </c>
      <c r="O22" s="194" t="str">
        <f t="shared" si="5"/>
        <v>ㄘ</v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INDEX($K$3:$K$44, MATCH(表格1_33[[#This Row],[鍵盤位置]], $J$3:$J$44,0))</f>
        <v>ㄘ</v>
      </c>
      <c r="V22" s="242" t="str">
        <f xml:space="preserve"> INDEX($K$3:$K$44, MATCH(表格1_33[[#This Row],[鍵盤位置]], $J$3:$J$44,0))</f>
        <v>ㄘ</v>
      </c>
      <c r="W22" s="243" t="s">
        <v>663</v>
      </c>
      <c r="X22" s="244" t="s">
        <v>393</v>
      </c>
    </row>
    <row r="23" spans="1:24"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>s</v>
      </c>
      <c r="O23" s="194" t="str">
        <f t="shared" si="5"/>
        <v>ㄙ</v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INDEX($K$3:$K$44, MATCH(表格1_33[[#This Row],[鍵盤位置]], $J$3:$J$44,0))</f>
        <v>ㄙ</v>
      </c>
      <c r="V23" s="242" t="str">
        <f xml:space="preserve"> INDEX($K$3:$K$44, MATCH(表格1_33[[#This Row],[鍵盤位置]], $J$3:$J$44,0))</f>
        <v>ㄙ</v>
      </c>
      <c r="W23" s="243" t="s">
        <v>99</v>
      </c>
      <c r="X23" s="244" t="s">
        <v>391</v>
      </c>
    </row>
    <row r="24" spans="1:24">
      <c r="E24" s="180" cm="1">
        <f t="array" ref="E24" xml:space="preserve"> ROW() - ROW($2:$2)</f>
        <v>22</v>
      </c>
      <c r="F24" s="225" t="str">
        <f t="shared" si="0"/>
        <v>i</v>
      </c>
      <c r="G24" s="225" t="str">
        <f t="shared" si="1"/>
        <v>u</v>
      </c>
      <c r="I24" s="180">
        <v>22</v>
      </c>
      <c r="J24" s="195" t="str">
        <f t="shared" si="2"/>
        <v>u</v>
      </c>
      <c r="K24" s="195" t="str">
        <f t="shared" si="3"/>
        <v>ㄧ</v>
      </c>
      <c r="M24" s="180">
        <v>22</v>
      </c>
      <c r="N24" s="194" t="str">
        <f t="shared" si="4"/>
        <v>i</v>
      </c>
      <c r="O24" s="194" t="str">
        <f t="shared" si="5"/>
        <v>ㄧ</v>
      </c>
      <c r="Q24" s="180">
        <v>22</v>
      </c>
      <c r="R24" s="183" t="str">
        <f t="shared" si="6"/>
        <v>u</v>
      </c>
      <c r="S24" s="197" t="str">
        <f t="shared" si="7"/>
        <v>i</v>
      </c>
      <c r="T24" s="183" t="str">
        <f xml:space="preserve"> INDEX($K$3:$K$44, MATCH(表格1_33[[#This Row],[鍵盤位置]], $J$3:$J$44,0))</f>
        <v>ㄧ</v>
      </c>
      <c r="V24" s="242" t="str">
        <f xml:space="preserve"> INDEX($K$3:$K$44, MATCH(表格1_33[[#This Row],[鍵盤位置]], $J$3:$J$44,0))</f>
        <v>ㄧ</v>
      </c>
      <c r="W24" s="245" t="s">
        <v>49</v>
      </c>
      <c r="X24" s="244" t="s">
        <v>373</v>
      </c>
    </row>
    <row r="25" spans="1:24">
      <c r="E25" s="180" cm="1">
        <f t="array" ref="E25" xml:space="preserve"> ROW() - ROW($2:$2)</f>
        <v>23</v>
      </c>
      <c r="F25" s="225" t="str">
        <f t="shared" si="0"/>
        <v>u</v>
      </c>
      <c r="G25" s="225" t="str">
        <f t="shared" si="1"/>
        <v>j</v>
      </c>
      <c r="I25" s="180">
        <v>23</v>
      </c>
      <c r="J25" s="195" t="str">
        <f t="shared" si="2"/>
        <v>j</v>
      </c>
      <c r="K25" s="195" t="str">
        <f t="shared" si="3"/>
        <v>ㄨ</v>
      </c>
      <c r="M25" s="180">
        <v>23</v>
      </c>
      <c r="N25" s="194" t="str">
        <f t="shared" si="4"/>
        <v>u</v>
      </c>
      <c r="O25" s="194" t="str">
        <f t="shared" si="5"/>
        <v>ㄨ</v>
      </c>
      <c r="Q25" s="180">
        <v>23</v>
      </c>
      <c r="R25" s="183" t="str">
        <f t="shared" si="6"/>
        <v>j</v>
      </c>
      <c r="S25" s="197" t="str">
        <f t="shared" si="7"/>
        <v>u</v>
      </c>
      <c r="T25" s="183" t="str">
        <f xml:space="preserve"> INDEX($K$3:$K$44, MATCH(表格1_33[[#This Row],[鍵盤位置]], $J$3:$J$44,0))</f>
        <v>ㄨ</v>
      </c>
      <c r="V25" s="242" t="str">
        <f xml:space="preserve"> INDEX($K$3:$K$44, MATCH(表格1_33[[#This Row],[鍵盤位置]], $J$3:$J$44,0))</f>
        <v>ㄨ</v>
      </c>
      <c r="W25" s="245" t="s">
        <v>77</v>
      </c>
      <c r="X25" s="244" t="s">
        <v>371</v>
      </c>
    </row>
    <row r="26" spans="1:24">
      <c r="E26" s="180" cm="1">
        <f t="array" ref="E26" xml:space="preserve"> ROW() - ROW($2:$2)</f>
        <v>24</v>
      </c>
      <c r="F26" s="225" t="str">
        <f t="shared" si="0"/>
        <v>v</v>
      </c>
      <c r="G26" s="225" t="str">
        <f t="shared" si="1"/>
        <v>m</v>
      </c>
      <c r="I26" s="180">
        <v>24</v>
      </c>
      <c r="J26" s="195" t="str">
        <f t="shared" si="2"/>
        <v>m</v>
      </c>
      <c r="K26" s="195" t="str">
        <f t="shared" si="3"/>
        <v>ㄩ</v>
      </c>
      <c r="M26" s="180">
        <v>24</v>
      </c>
      <c r="N26" s="194" t="str">
        <f t="shared" si="4"/>
        <v>v</v>
      </c>
      <c r="O26" s="194" t="str">
        <f t="shared" si="5"/>
        <v>ㄩ</v>
      </c>
      <c r="Q26" s="180">
        <v>24</v>
      </c>
      <c r="R26" s="183" t="str">
        <f t="shared" si="6"/>
        <v>m</v>
      </c>
      <c r="S26" s="197" t="str">
        <f t="shared" si="7"/>
        <v>v</v>
      </c>
      <c r="T26" s="183" t="str">
        <f xml:space="preserve"> INDEX($K$3:$K$44, MATCH(表格1_33[[#This Row],[鍵盤位置]], $J$3:$J$44,0))</f>
        <v>ㄩ</v>
      </c>
      <c r="V26" s="242" t="str">
        <f xml:space="preserve"> INDEX($K$3:$K$44, MATCH(表格1_33[[#This Row],[鍵盤位置]], $J$3:$J$44,0))</f>
        <v>ㄩ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a</v>
      </c>
      <c r="G27" s="225" t="str">
        <f t="shared" si="1"/>
        <v>8</v>
      </c>
      <c r="I27" s="180">
        <v>25</v>
      </c>
      <c r="J27" s="195" t="str">
        <f t="shared" si="2"/>
        <v>8</v>
      </c>
      <c r="K27" s="195" t="str">
        <f t="shared" si="3"/>
        <v>ㄚ</v>
      </c>
      <c r="M27" s="180">
        <v>25</v>
      </c>
      <c r="N27" s="194" t="str">
        <f t="shared" si="4"/>
        <v>a</v>
      </c>
      <c r="O27" s="194" t="str">
        <f t="shared" si="5"/>
        <v>ㄚ</v>
      </c>
      <c r="Q27" s="180">
        <v>25</v>
      </c>
      <c r="R27" s="183" t="str">
        <f t="shared" si="6"/>
        <v>8</v>
      </c>
      <c r="S27" s="197" t="str">
        <f t="shared" si="7"/>
        <v>a</v>
      </c>
      <c r="T27" s="183" t="str">
        <f xml:space="preserve"> INDEX($K$3:$K$44, MATCH(表格1_33[[#This Row],[鍵盤位置]], $J$3:$J$44,0))</f>
        <v>ㄚ</v>
      </c>
      <c r="V27" s="242" t="str">
        <f xml:space="preserve"> INDEX($K$3:$K$44, MATCH(表格1_33[[#This Row],[鍵盤位置]], $J$3:$J$44,0))</f>
        <v>ㄚ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i</v>
      </c>
      <c r="I28" s="180">
        <v>26</v>
      </c>
      <c r="J28" s="195" t="str">
        <f t="shared" si="2"/>
        <v>i</v>
      </c>
      <c r="K28" s="195" t="str">
        <f t="shared" si="3"/>
        <v>ㄛ</v>
      </c>
      <c r="M28" s="180">
        <v>26</v>
      </c>
      <c r="N28" s="194" t="str">
        <f t="shared" si="4"/>
        <v>o</v>
      </c>
      <c r="O28" s="194" t="str">
        <f t="shared" si="5"/>
        <v>ㄛ</v>
      </c>
      <c r="Q28" s="180">
        <v>26</v>
      </c>
      <c r="R28" s="183" t="str">
        <f t="shared" si="6"/>
        <v>i</v>
      </c>
      <c r="S28" s="197" t="str">
        <f t="shared" si="7"/>
        <v>o</v>
      </c>
      <c r="T28" s="183" t="str">
        <f xml:space="preserve"> INDEX($K$3:$K$44, MATCH(表格1_33[[#This Row],[鍵盤位置]], $J$3:$J$44,0))</f>
        <v>ㄛ</v>
      </c>
      <c r="V28" s="242" t="str">
        <f xml:space="preserve"> INDEX($K$3:$K$44, MATCH(表格1_33[[#This Row],[鍵盤位置]], $J$3:$J$44,0))</f>
        <v>ㄛ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k</v>
      </c>
      <c r="I29" s="180">
        <v>27</v>
      </c>
      <c r="J29" s="195" t="str">
        <f t="shared" si="2"/>
        <v>k</v>
      </c>
      <c r="K29" s="195" t="str">
        <f t="shared" si="3"/>
        <v>ㄜ</v>
      </c>
      <c r="M29" s="180">
        <v>27</v>
      </c>
      <c r="N29" s="194" t="str">
        <f t="shared" si="4"/>
        <v>e</v>
      </c>
      <c r="O29" s="194" t="str">
        <f t="shared" si="5"/>
        <v>ㄜ</v>
      </c>
      <c r="Q29" s="180">
        <v>27</v>
      </c>
      <c r="R29" s="183" t="str">
        <f t="shared" si="6"/>
        <v>k</v>
      </c>
      <c r="S29" s="197" t="str">
        <f t="shared" si="7"/>
        <v>e</v>
      </c>
      <c r="T29" s="183" t="str">
        <f xml:space="preserve"> INDEX($K$3:$K$44, MATCH(表格1_33[[#This Row],[鍵盤位置]], $J$3:$J$44,0))</f>
        <v>ㄜ</v>
      </c>
      <c r="V29" s="242" t="str">
        <f xml:space="preserve"> INDEX($K$3:$K$44, MATCH(表格1_33[[#This Row],[鍵盤位置]], $J$3:$J$44,0))</f>
        <v>ㄜ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,</v>
      </c>
      <c r="I30" s="180">
        <v>28</v>
      </c>
      <c r="J30" s="195" t="str">
        <f t="shared" si="2"/>
        <v>,</v>
      </c>
      <c r="K30" s="195" t="str">
        <f t="shared" si="3"/>
        <v>ㄝ</v>
      </c>
      <c r="M30" s="180">
        <v>28</v>
      </c>
      <c r="N30" s="194" t="str">
        <f t="shared" si="4"/>
        <v>E</v>
      </c>
      <c r="O30" s="194" t="str">
        <f t="shared" si="5"/>
        <v>ㄝ</v>
      </c>
      <c r="Q30" s="180">
        <v>28</v>
      </c>
      <c r="R30" s="183" t="str">
        <f t="shared" si="6"/>
        <v>,</v>
      </c>
      <c r="S30" s="197" t="str">
        <f t="shared" si="7"/>
        <v>E</v>
      </c>
      <c r="T30" s="183" t="str">
        <f xml:space="preserve"> INDEX($K$3:$K$44, MATCH(表格1_33[[#This Row],[鍵盤位置]], $J$3:$J$44,0))</f>
        <v>ㄝ</v>
      </c>
      <c r="V30" s="242" t="str">
        <f xml:space="preserve"> INDEX($K$3:$K$44, MATCH(表格1_33[[#This Row],[鍵盤位置]], $J$3:$J$44,0))</f>
        <v>ㄝ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A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>A</v>
      </c>
      <c r="O31" s="194" t="str">
        <f t="shared" si="5"/>
        <v>ㄞ</v>
      </c>
      <c r="Q31" s="180">
        <v>29</v>
      </c>
      <c r="R31" s="183" t="str">
        <f t="shared" si="6"/>
        <v>9</v>
      </c>
      <c r="S31" s="197" t="str">
        <f t="shared" si="7"/>
        <v>A</v>
      </c>
      <c r="T31" s="183" t="str">
        <f xml:space="preserve"> INDEX($K$3:$K$44, MATCH(表格1_33[[#This Row],[鍵盤位置]], $J$3:$J$44,0))</f>
        <v>ㄞ</v>
      </c>
      <c r="V31" s="242" t="str">
        <f xml:space="preserve"> INDEX($K$3:$K$44, MATCH(表格1_33[[#This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I</v>
      </c>
      <c r="G32" s="225" t="str">
        <f t="shared" si="1"/>
        <v>o</v>
      </c>
      <c r="I32" s="180">
        <v>30</v>
      </c>
      <c r="J32" s="195" t="str">
        <f t="shared" si="2"/>
        <v>o</v>
      </c>
      <c r="K32" s="195" t="str">
        <f t="shared" si="3"/>
        <v>ㄟ</v>
      </c>
      <c r="M32" s="180">
        <v>30</v>
      </c>
      <c r="N32" s="194" t="str">
        <f t="shared" si="4"/>
        <v>I</v>
      </c>
      <c r="O32" s="194" t="str">
        <f t="shared" si="5"/>
        <v>ㄟ</v>
      </c>
      <c r="Q32" s="180">
        <v>30</v>
      </c>
      <c r="R32" s="183" t="str">
        <f t="shared" si="6"/>
        <v>o</v>
      </c>
      <c r="S32" s="197" t="str">
        <f t="shared" si="7"/>
        <v>I</v>
      </c>
      <c r="T32" s="183" t="str">
        <f xml:space="preserve"> INDEX($K$3:$K$44, MATCH(表格1_33[[#This Row],[鍵盤位置]], $J$3:$J$44,0))</f>
        <v>ㄟ</v>
      </c>
      <c r="V32" s="242" t="str">
        <f xml:space="preserve"> INDEX($K$3:$K$44, MATCH(表格1_33[[#This Row],[鍵盤位置]], $J$3:$J$44,0))</f>
        <v>ㄟ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O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>O</v>
      </c>
      <c r="O33" s="194" t="str">
        <f t="shared" si="5"/>
        <v>ㄠ</v>
      </c>
      <c r="Q33" s="180">
        <v>31</v>
      </c>
      <c r="R33" s="183" t="str">
        <f t="shared" si="6"/>
        <v>l</v>
      </c>
      <c r="S33" s="197" t="str">
        <f t="shared" si="7"/>
        <v>O</v>
      </c>
      <c r="T33" s="183" t="str">
        <f xml:space="preserve"> INDEX($K$3:$K$44, MATCH(表格1_33[[#This Row],[鍵盤位置]], $J$3:$J$44,0))</f>
        <v>ㄠ</v>
      </c>
      <c r="V33" s="242" t="str">
        <f xml:space="preserve"> INDEX($K$3:$K$44, MATCH(表格1_33[[#This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U</v>
      </c>
      <c r="G34" s="225" t="str">
        <f t="shared" si="1"/>
        <v>.</v>
      </c>
      <c r="I34" s="180">
        <v>32</v>
      </c>
      <c r="J34" s="195" t="str">
        <f t="shared" si="2"/>
        <v>.</v>
      </c>
      <c r="K34" s="195" t="str">
        <f t="shared" si="3"/>
        <v>ㄡ</v>
      </c>
      <c r="M34" s="180">
        <v>32</v>
      </c>
      <c r="N34" s="194" t="str">
        <f t="shared" si="4"/>
        <v>U</v>
      </c>
      <c r="O34" s="194" t="str">
        <f t="shared" si="5"/>
        <v>ㄡ</v>
      </c>
      <c r="Q34" s="180">
        <v>32</v>
      </c>
      <c r="R34" s="183" t="str">
        <f t="shared" si="6"/>
        <v>.</v>
      </c>
      <c r="S34" s="197" t="str">
        <f t="shared" si="7"/>
        <v>U</v>
      </c>
      <c r="T34" s="183" t="str">
        <f xml:space="preserve"> INDEX($K$3:$K$44, MATCH(表格1_33[[#This Row],[鍵盤位置]], $J$3:$J$44,0))</f>
        <v>ㄡ</v>
      </c>
      <c r="V34" s="242" t="str">
        <f xml:space="preserve"> INDEX($K$3:$K$44, MATCH(表格1_33[[#This Row],[鍵盤位置]], $J$3:$J$44,0))</f>
        <v>ㄡ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M</v>
      </c>
      <c r="G35" s="225" t="str">
        <f t="shared" si="1"/>
        <v>0</v>
      </c>
      <c r="I35" s="180">
        <v>33</v>
      </c>
      <c r="J35" s="195" t="str">
        <f t="shared" si="2"/>
        <v>0</v>
      </c>
      <c r="K35" s="195" t="str">
        <f t="shared" si="3"/>
        <v>ㄢ</v>
      </c>
      <c r="M35" s="180">
        <v>33</v>
      </c>
      <c r="N35" s="194" t="str">
        <f t="shared" si="4"/>
        <v>M</v>
      </c>
      <c r="O35" s="194" t="str">
        <f t="shared" si="5"/>
        <v>ㄢ</v>
      </c>
      <c r="Q35" s="180">
        <v>33</v>
      </c>
      <c r="R35" s="183" t="str">
        <f t="shared" si="6"/>
        <v>0</v>
      </c>
      <c r="S35" s="197" t="str">
        <f t="shared" si="7"/>
        <v>M</v>
      </c>
      <c r="T35" s="183" t="str">
        <f xml:space="preserve"> INDEX($K$3:$K$44, MATCH(表格1_33[[#This Row],[鍵盤位置]], $J$3:$J$44,0))</f>
        <v>ㄢ</v>
      </c>
      <c r="V35" s="242" t="str">
        <f xml:space="preserve"> INDEX($K$3:$K$44, MATCH(表格1_33[[#This Row],[鍵盤位置]], $J$3:$J$44,0))</f>
        <v>ㄢ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N</v>
      </c>
      <c r="G36" s="225" t="str">
        <f t="shared" si="1"/>
        <v>p</v>
      </c>
      <c r="I36" s="180">
        <v>34</v>
      </c>
      <c r="J36" s="195" t="str">
        <f t="shared" si="2"/>
        <v>p</v>
      </c>
      <c r="K36" s="195" t="str">
        <f t="shared" si="3"/>
        <v>ㄣ</v>
      </c>
      <c r="M36" s="180">
        <v>34</v>
      </c>
      <c r="N36" s="194" t="str">
        <f t="shared" si="4"/>
        <v>N</v>
      </c>
      <c r="O36" s="194" t="str">
        <f t="shared" si="5"/>
        <v>ㄣ</v>
      </c>
      <c r="Q36" s="180">
        <v>34</v>
      </c>
      <c r="R36" s="183" t="str">
        <f t="shared" si="6"/>
        <v>p</v>
      </c>
      <c r="S36" s="197" t="str">
        <f t="shared" si="7"/>
        <v>N</v>
      </c>
      <c r="T36" s="183" t="str">
        <f xml:space="preserve"> INDEX($K$3:$K$44, MATCH(表格1_33[[#This Row],[鍵盤位置]], $J$3:$J$44,0))</f>
        <v>ㄣ</v>
      </c>
      <c r="V36" s="242" t="str">
        <f xml:space="preserve"> INDEX($K$3:$K$44, MATCH(表格1_33[[#This Row],[鍵盤位置]], $J$3:$J$44,0))</f>
        <v>ㄣ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K</v>
      </c>
      <c r="G37" s="225" t="str">
        <f t="shared" si="1"/>
        <v>;</v>
      </c>
      <c r="I37" s="180">
        <v>35</v>
      </c>
      <c r="J37" s="195" t="str">
        <f t="shared" si="2"/>
        <v>;</v>
      </c>
      <c r="K37" s="195" t="str">
        <f t="shared" si="3"/>
        <v>ㄤ</v>
      </c>
      <c r="M37" s="180">
        <v>35</v>
      </c>
      <c r="N37" s="194" t="str">
        <f t="shared" si="4"/>
        <v>K</v>
      </c>
      <c r="O37" s="194" t="str">
        <f t="shared" si="5"/>
        <v>ㄤ</v>
      </c>
      <c r="Q37" s="180">
        <v>35</v>
      </c>
      <c r="R37" s="183" t="str">
        <f t="shared" si="6"/>
        <v>;</v>
      </c>
      <c r="S37" s="197" t="str">
        <f t="shared" si="7"/>
        <v>K</v>
      </c>
      <c r="T37" s="183" t="str">
        <f xml:space="preserve"> INDEX($K$3:$K$44, MATCH(表格1_33[[#This Row],[鍵盤位置]], $J$3:$J$44,0))</f>
        <v>ㄤ</v>
      </c>
      <c r="V37" s="242" t="str">
        <f xml:space="preserve"> INDEX($K$3:$K$44, MATCH(表格1_33[[#This Row],[鍵盤位置]], $J$3:$J$44,0))</f>
        <v>ㄤ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G</v>
      </c>
      <c r="G38" s="225" t="str">
        <f t="shared" si="1"/>
        <v>/</v>
      </c>
      <c r="I38" s="180">
        <v>36</v>
      </c>
      <c r="J38" s="195" t="str">
        <f t="shared" si="2"/>
        <v>/</v>
      </c>
      <c r="K38" s="195" t="str">
        <f t="shared" si="3"/>
        <v>ㄥ</v>
      </c>
      <c r="M38" s="180">
        <v>36</v>
      </c>
      <c r="N38" s="194" t="str">
        <f t="shared" si="4"/>
        <v>G</v>
      </c>
      <c r="O38" s="194" t="str">
        <f t="shared" si="5"/>
        <v>ㄥ</v>
      </c>
      <c r="Q38" s="180">
        <v>36</v>
      </c>
      <c r="R38" s="183" t="str">
        <f t="shared" si="6"/>
        <v>/</v>
      </c>
      <c r="S38" s="197" t="str">
        <f t="shared" si="7"/>
        <v>G</v>
      </c>
      <c r="T38" s="183" t="str">
        <f xml:space="preserve"> INDEX($K$3:$K$44, MATCH(表格1_33[[#This Row],[鍵盤位置]], $J$3:$J$44,0))</f>
        <v>ㄥ</v>
      </c>
      <c r="V38" s="242" t="str">
        <f xml:space="preserve"> INDEX($K$3:$K$44, MATCH(表格1_33[[#This Row],[鍵盤位置]], $J$3:$J$44,0))</f>
        <v>ㄥ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R</v>
      </c>
      <c r="G39" s="225" t="str">
        <f t="shared" si="1"/>
        <v>-</v>
      </c>
      <c r="I39" s="180">
        <v>37</v>
      </c>
      <c r="J39" s="195" t="str">
        <f t="shared" si="2"/>
        <v>-</v>
      </c>
      <c r="K39" s="195" t="str">
        <f t="shared" si="3"/>
        <v>ㄦ</v>
      </c>
      <c r="M39" s="180">
        <v>37</v>
      </c>
      <c r="N39" s="194" t="str">
        <f t="shared" si="4"/>
        <v>R</v>
      </c>
      <c r="O39" s="194" t="str">
        <f t="shared" si="5"/>
        <v>ㄦ</v>
      </c>
      <c r="Q39" s="180">
        <v>37</v>
      </c>
      <c r="R39" s="183" t="str">
        <f t="shared" si="6"/>
        <v>-</v>
      </c>
      <c r="S39" s="197" t="str">
        <f t="shared" si="7"/>
        <v>R</v>
      </c>
      <c r="T39" s="183" t="str">
        <f xml:space="preserve"> INDEX($K$3:$K$44, MATCH(表格1_33[[#This Row],[鍵盤位置]], $J$3:$J$44,0))</f>
        <v>ㄦ</v>
      </c>
      <c r="V39" s="242" t="str">
        <f xml:space="preserve"> INDEX($K$3:$K$44, MATCH(表格1_33[[#This Row],[鍵盤位置]], $J$3:$J$44,0))</f>
        <v>ㄦ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1</v>
      </c>
      <c r="G40" s="225" t="str">
        <f t="shared" si="1"/>
        <v xml:space="preserve"> </v>
      </c>
      <c r="I40" s="180">
        <v>38</v>
      </c>
      <c r="J40" s="195" t="str">
        <f t="shared" si="2"/>
        <v xml:space="preserve"> </v>
      </c>
      <c r="K40" s="195" t="str">
        <f t="shared" si="3"/>
        <v>ˉ</v>
      </c>
      <c r="M40" s="180">
        <v>38</v>
      </c>
      <c r="N40" s="194" t="str">
        <f t="shared" si="4"/>
        <v>1</v>
      </c>
      <c r="O40" s="194" t="str">
        <f t="shared" si="5"/>
        <v>ˉ</v>
      </c>
      <c r="Q40" s="180">
        <v>38</v>
      </c>
      <c r="R40" s="183" t="str">
        <f t="shared" si="6"/>
        <v xml:space="preserve"> </v>
      </c>
      <c r="S40" s="197" t="str">
        <f t="shared" si="7"/>
        <v>1</v>
      </c>
      <c r="T40" s="183" t="str">
        <f xml:space="preserve"> INDEX($K$3:$K$44, MATCH(表格1_33[[#This Row],[鍵盤位置]], $J$3:$J$44,0))</f>
        <v>ˉ</v>
      </c>
      <c r="V40" s="242" t="str">
        <f xml:space="preserve"> INDEX($K$3:$K$44, MATCH(表格1_33[[#This Row],[鍵盤位置]], $J$3:$J$44,0))</f>
        <v>ˉ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2</v>
      </c>
      <c r="G41" s="225" t="str">
        <f t="shared" si="1"/>
        <v>6</v>
      </c>
      <c r="I41" s="180">
        <v>39</v>
      </c>
      <c r="J41" s="195" t="str">
        <f t="shared" si="2"/>
        <v>6</v>
      </c>
      <c r="K41" s="195" t="str">
        <f t="shared" si="3"/>
        <v>ˊ</v>
      </c>
      <c r="M41" s="180">
        <v>39</v>
      </c>
      <c r="N41" s="194" t="str">
        <f t="shared" si="4"/>
        <v>2</v>
      </c>
      <c r="O41" s="194" t="str">
        <f t="shared" si="5"/>
        <v>ˊ</v>
      </c>
      <c r="Q41" s="180">
        <v>39</v>
      </c>
      <c r="R41" s="183" t="str">
        <f t="shared" si="6"/>
        <v>6</v>
      </c>
      <c r="S41" s="197" t="str">
        <f t="shared" si="7"/>
        <v>2</v>
      </c>
      <c r="T41" s="183" t="str">
        <f xml:space="preserve"> INDEX($K$3:$K$44, MATCH(表格1_33[[#This Row],[鍵盤位置]], $J$3:$J$44,0))</f>
        <v>ˊ</v>
      </c>
      <c r="V41" s="242" t="str">
        <f xml:space="preserve"> INDEX($K$3:$K$44, MATCH(表格1_33[[#This Row],[鍵盤位置]], $J$3:$J$44,0))</f>
        <v>ˊ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3</v>
      </c>
      <c r="G42" s="225" t="str">
        <f t="shared" si="1"/>
        <v>3</v>
      </c>
      <c r="I42" s="180">
        <v>40</v>
      </c>
      <c r="J42" s="195" t="str">
        <f t="shared" si="2"/>
        <v>3</v>
      </c>
      <c r="K42" s="195" t="str">
        <f t="shared" si="3"/>
        <v>ˇ</v>
      </c>
      <c r="M42" s="180">
        <v>40</v>
      </c>
      <c r="N42" s="194" t="str">
        <f t="shared" si="4"/>
        <v>3</v>
      </c>
      <c r="O42" s="194" t="str">
        <f t="shared" si="5"/>
        <v>ˇ</v>
      </c>
      <c r="Q42" s="180">
        <v>40</v>
      </c>
      <c r="R42" s="183" t="str">
        <f t="shared" si="6"/>
        <v>3</v>
      </c>
      <c r="S42" s="197" t="str">
        <f t="shared" si="7"/>
        <v>3</v>
      </c>
      <c r="T42" s="183" t="str">
        <f xml:space="preserve"> INDEX($K$3:$K$44, MATCH(表格1_33[[#This Row],[鍵盤位置]], $J$3:$J$44,0))</f>
        <v>ˇ</v>
      </c>
      <c r="V42" s="242" t="str">
        <f xml:space="preserve"> INDEX($K$3:$K$44, MATCH(表格1_33[[#This Row],[鍵盤位置]], $J$3:$J$44,0))</f>
        <v>ˇ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4</v>
      </c>
      <c r="G43" s="225" t="str">
        <f t="shared" si="1"/>
        <v>4</v>
      </c>
      <c r="I43" s="180">
        <v>41</v>
      </c>
      <c r="J43" s="195" t="str">
        <f t="shared" si="2"/>
        <v>4</v>
      </c>
      <c r="K43" s="195" t="str">
        <f t="shared" si="3"/>
        <v>ˋ</v>
      </c>
      <c r="M43" s="180">
        <v>41</v>
      </c>
      <c r="N43" s="194" t="str">
        <f t="shared" si="4"/>
        <v>4</v>
      </c>
      <c r="O43" s="194" t="str">
        <f t="shared" si="5"/>
        <v>ˋ</v>
      </c>
      <c r="Q43" s="180">
        <v>41</v>
      </c>
      <c r="R43" s="183" t="str">
        <f t="shared" si="6"/>
        <v>4</v>
      </c>
      <c r="S43" s="197" t="str">
        <f t="shared" si="7"/>
        <v>4</v>
      </c>
      <c r="T43" s="183" t="str">
        <f xml:space="preserve"> INDEX($K$3:$K$44, MATCH(表格1_33[[#This Row],[鍵盤位置]], $J$3:$J$44,0))</f>
        <v>ˋ</v>
      </c>
      <c r="V43" s="242" t="str">
        <f xml:space="preserve"> INDEX($K$3:$K$44, MATCH(表格1_33[[#This Row],[鍵盤位置]], $J$3:$J$44,0))</f>
        <v>ˋ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5</v>
      </c>
      <c r="G44" s="225" t="str">
        <f t="shared" si="1"/>
        <v>7</v>
      </c>
      <c r="I44" s="180">
        <v>42</v>
      </c>
      <c r="J44" s="195" t="str">
        <f t="shared" si="2"/>
        <v>7</v>
      </c>
      <c r="K44" s="195" t="str">
        <f t="shared" si="3"/>
        <v>˙</v>
      </c>
      <c r="M44" s="180">
        <v>42</v>
      </c>
      <c r="N44" s="194" t="str">
        <f t="shared" si="4"/>
        <v>5</v>
      </c>
      <c r="O44" s="194" t="str">
        <f t="shared" si="5"/>
        <v>˙</v>
      </c>
      <c r="Q44" s="180">
        <v>42</v>
      </c>
      <c r="R44" s="183" t="str">
        <f t="shared" si="6"/>
        <v>7</v>
      </c>
      <c r="S44" s="197" t="str">
        <f t="shared" si="7"/>
        <v>5</v>
      </c>
      <c r="T44" s="183" t="str">
        <f xml:space="preserve"> INDEX($K$3:$K$44, MATCH(表格1_33[[#This Row],[鍵盤位置]], $J$3:$J$44,0))</f>
        <v>˙</v>
      </c>
      <c r="V44" s="242" t="str">
        <f xml:space="preserve"> INDEX($K$3:$K$44, MATCH(表格1_33[[#This Row],[鍵盤位置]], $J$3:$J$44,0))</f>
        <v>˙</v>
      </c>
      <c r="W44" s="245" t="s">
        <v>311</v>
      </c>
      <c r="X44" s="244" t="s">
        <v>369</v>
      </c>
    </row>
    <row r="45" spans="5:24">
      <c r="O45" s="180"/>
    </row>
    <row r="46" spans="5:24">
      <c r="S46" s="180" t="str">
        <f xml:space="preserve"> _xlfn.CONCAT(按鍵編碼)</f>
        <v>bpmfdtnlgkhjqxZCSrzcsiuvaoeEAIOUMNKGR12345</v>
      </c>
    </row>
    <row r="47" spans="5:24">
      <c r="S47" s="180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46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1" width="7.8984375" style="180" customWidth="1"/>
    <col min="22" max="22" width="4.796875" style="180" customWidth="1"/>
    <col min="23" max="23" width="7.8984375" style="180" customWidth="1"/>
    <col min="24" max="24" width="6.19921875" style="180" customWidth="1"/>
    <col min="25" max="28" width="11.296875" style="180" customWidth="1"/>
    <col min="29" max="29" width="8.796875" style="180"/>
    <col min="30" max="30" width="16.296875" style="180" customWidth="1"/>
    <col min="31" max="31" width="7.09765625" style="180" customWidth="1"/>
    <col min="32" max="40" width="8.796875" style="180"/>
    <col min="41" max="41" width="13.3984375" style="180" bestFit="1" customWidth="1"/>
    <col min="42" max="46" width="8.796875" style="180"/>
    <col min="47" max="47" width="12.19921875" style="180" bestFit="1" customWidth="1"/>
    <col min="48" max="16384" width="8.796875" style="180"/>
  </cols>
  <sheetData>
    <row r="1" spans="1:30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X1" s="249" t="s">
        <v>614</v>
      </c>
      <c r="Y1" s="159"/>
      <c r="Z1" s="124"/>
      <c r="AA1" s="118"/>
      <c r="AB1" s="118"/>
    </row>
    <row r="2" spans="1:30" ht="26.25" thickBot="1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X2" s="164" t="s">
        <v>103</v>
      </c>
      <c r="Y2" s="165" t="s">
        <v>104</v>
      </c>
      <c r="Z2" s="166" t="s">
        <v>356</v>
      </c>
      <c r="AA2" s="167" t="s">
        <v>326</v>
      </c>
      <c r="AB2" s="168" t="s">
        <v>510</v>
      </c>
    </row>
    <row r="3" spans="1:30" ht="33" thickTop="1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t="shared" ref="N3:N19" si="0" xml:space="preserve"> IFERROR( MID($A$25, $E3, 1), "")</f>
        <v>p</v>
      </c>
      <c r="O3" s="194" t="str">
        <f t="shared" ref="O3:O44" si="1" xml:space="preserve"> IFERROR( MID($A$26, $E3,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MATCH(表格1_3345[[#This Row],[鍵盤按鍵]], $J$3:$J$44,0)), "")</f>
        <v>ㄅ</v>
      </c>
      <c r="X3" s="14">
        <v>1</v>
      </c>
      <c r="Y3" s="160" t="s">
        <v>8</v>
      </c>
      <c r="Z3" s="119" t="s">
        <v>196</v>
      </c>
      <c r="AA3" s="109" t="str">
        <f xml:space="preserve"> IFERROR( INDEX(表格1_3345[字典編碼], MATCH($Y3, 表格1_3345[方音符號], 0)), "")</f>
        <v>p</v>
      </c>
      <c r="AB3" s="110" t="str">
        <f xml:space="preserve"> IFERROR( INDEX(表格1_3345[鍵盤按鍵], MATCH($Y3, 表格1_3345[方音符號], 0)), "")</f>
        <v>1</v>
      </c>
      <c r="AD3"/>
    </row>
    <row r="4" spans="1:30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2" xml:space="preserve"> IFERROR( MID($A$6, $E4, 1), "")</f>
        <v>P</v>
      </c>
      <c r="G4" s="201" t="str">
        <f t="shared" ref="G4:G44" si="3" xml:space="preserve"> IFERROR( MID($A$7, $E4, 1), "")</f>
        <v>q</v>
      </c>
      <c r="I4" s="180">
        <v>2</v>
      </c>
      <c r="J4" s="195" t="str">
        <f t="shared" ref="J4:J44" si="4" xml:space="preserve"> IFERROR( MID($A$15, $E4, 1), "")</f>
        <v>q</v>
      </c>
      <c r="K4" s="195" t="str">
        <f t="shared" ref="K4:K44" si="5" xml:space="preserve"> IFERROR( MID($A$16, $E4, 1), "")</f>
        <v>ㄆ</v>
      </c>
      <c r="M4" s="180">
        <v>2</v>
      </c>
      <c r="N4" s="194" t="str">
        <f t="shared" si="0"/>
        <v>P</v>
      </c>
      <c r="O4" s="194" t="str">
        <f t="shared" si="1"/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250" t="str">
        <f xml:space="preserve"> IFERROR( INDEX($K$3:$K$44, MATCH(表格1_3345[[#This Row],[鍵盤按鍵]], $J$3:$J$44,0)), "")</f>
        <v>ㄆ</v>
      </c>
      <c r="X4" s="14">
        <f>X3+1</f>
        <v>2</v>
      </c>
      <c r="Y4" s="160" t="s">
        <v>37</v>
      </c>
      <c r="Z4" s="119" t="s">
        <v>125</v>
      </c>
      <c r="AA4" s="109" t="str">
        <f xml:space="preserve"> IFERROR( INDEX(表格1_3345[字典編碼], MATCH($Y4, 表格1_3345[方音符號], 0)), "")</f>
        <v>P</v>
      </c>
      <c r="AB4" s="110" t="str">
        <f xml:space="preserve"> IFERROR( INDEX(表格1_3345[鍵盤按鍵], MATCH($Y4, 表格1_3345[方音符號], 0)), "")</f>
        <v>q</v>
      </c>
    </row>
    <row r="5" spans="1:30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2"/>
        <v>m</v>
      </c>
      <c r="G5" s="201" t="str">
        <f t="shared" si="3"/>
        <v>a</v>
      </c>
      <c r="I5" s="180">
        <v>3</v>
      </c>
      <c r="J5" s="195" t="str">
        <f t="shared" si="4"/>
        <v>a</v>
      </c>
      <c r="K5" s="195" t="str">
        <f t="shared" si="5"/>
        <v>ㄇ</v>
      </c>
      <c r="M5" s="180">
        <v>3</v>
      </c>
      <c r="N5" s="194" t="str">
        <f t="shared" si="0"/>
        <v>b</v>
      </c>
      <c r="O5" s="194" t="str">
        <f t="shared" si="1"/>
        <v>ㆠ</v>
      </c>
      <c r="Q5" s="180">
        <v>3</v>
      </c>
      <c r="R5" s="183" t="str">
        <f t="shared" si="6"/>
        <v>a</v>
      </c>
      <c r="S5" s="197" t="str">
        <f t="shared" si="7"/>
        <v>m</v>
      </c>
      <c r="T5" s="250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60" t="s">
        <v>90</v>
      </c>
      <c r="Z5" s="119" t="s">
        <v>162</v>
      </c>
      <c r="AA5" s="111" t="str">
        <f xml:space="preserve"> IFERROR( INDEX(表格1_3345[字典編碼], MATCH($Y5, 表格1_3345[方音符號], 0)), "")</f>
        <v>b</v>
      </c>
      <c r="AB5" s="110" t="str">
        <f xml:space="preserve"> IFERROR( INDEX(表格1_3345[鍵盤按鍵], MATCH($Y5, 表格1_3345[方音符號], 0)), "")</f>
        <v>z</v>
      </c>
    </row>
    <row r="6" spans="1:30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2"/>
        <v>b</v>
      </c>
      <c r="G6" s="206" t="str">
        <f t="shared" si="3"/>
        <v>z</v>
      </c>
      <c r="I6" s="180">
        <v>4</v>
      </c>
      <c r="J6" s="195" t="str">
        <f t="shared" si="4"/>
        <v>z</v>
      </c>
      <c r="K6" s="195" t="str">
        <f t="shared" si="5"/>
        <v>ㆠ</v>
      </c>
      <c r="M6" s="180">
        <v>4</v>
      </c>
      <c r="N6" s="194" t="str">
        <f t="shared" si="0"/>
        <v>t</v>
      </c>
      <c r="O6" s="194" t="str">
        <f t="shared" si="1"/>
        <v>ㄉ</v>
      </c>
      <c r="Q6" s="180">
        <v>4</v>
      </c>
      <c r="R6" s="183" t="str">
        <f t="shared" si="6"/>
        <v>z</v>
      </c>
      <c r="S6" s="197" t="str">
        <f t="shared" si="7"/>
        <v>b</v>
      </c>
      <c r="T6" s="250" t="str">
        <f xml:space="preserve"> IFERROR( INDEX($K$3:$K$44, MATCH(表格1_3345[[#This Row],[鍵盤按鍵]], $J$3:$J$44,0)), "")</f>
        <v>ㆠ</v>
      </c>
      <c r="X6" s="14">
        <f t="shared" si="8"/>
        <v>4</v>
      </c>
      <c r="Y6" s="160" t="s">
        <v>55</v>
      </c>
      <c r="Z6" s="119" t="s">
        <v>124</v>
      </c>
      <c r="AA6" s="109" t="str">
        <f xml:space="preserve"> IFERROR( INDEX(表格1_3345[字典編碼], MATCH($Y6, 表格1_3345[方音符號], 0)), "")</f>
        <v>m</v>
      </c>
      <c r="AB6" s="110" t="str">
        <f xml:space="preserve"> IFERROR( INDEX(表格1_3345[鍵盤按鍵], MATCH($Y6, 表格1_3345[方音符號], 0)), "")</f>
        <v>a</v>
      </c>
    </row>
    <row r="7" spans="1:30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2"/>
        <v>t</v>
      </c>
      <c r="G7" s="201" t="str">
        <f t="shared" si="3"/>
        <v>2</v>
      </c>
      <c r="I7" s="180">
        <v>5</v>
      </c>
      <c r="J7" s="195" t="str">
        <f t="shared" si="4"/>
        <v>2</v>
      </c>
      <c r="K7" s="195" t="str">
        <f t="shared" si="5"/>
        <v>ㄉ</v>
      </c>
      <c r="M7" s="180">
        <v>5</v>
      </c>
      <c r="N7" s="194" t="str">
        <f t="shared" si="0"/>
        <v>T</v>
      </c>
      <c r="O7" s="194" t="str">
        <f t="shared" si="1"/>
        <v>ㄊ</v>
      </c>
      <c r="Q7" s="180">
        <v>5</v>
      </c>
      <c r="R7" s="183" t="str">
        <f t="shared" si="6"/>
        <v>2</v>
      </c>
      <c r="S7" s="197" t="str">
        <f t="shared" si="7"/>
        <v>t</v>
      </c>
      <c r="T7" s="250" t="str">
        <f xml:space="preserve"> IFERROR( INDEX($K$3:$K$44, MATCH(表格1_3345[[#This Row],[鍵盤按鍵]], $J$3:$J$44,0)), "")</f>
        <v>ㄉ</v>
      </c>
      <c r="X7" s="36">
        <f t="shared" si="8"/>
        <v>5</v>
      </c>
      <c r="Y7" s="161" t="s">
        <v>10</v>
      </c>
      <c r="Z7" s="120" t="s">
        <v>11</v>
      </c>
      <c r="AA7" s="112" t="str">
        <f xml:space="preserve"> IFERROR( INDEX(表格1_3345[字典編碼], MATCH($Y7, 表格1_3345[方音符號], 0)), "")</f>
        <v>t</v>
      </c>
      <c r="AB7" s="113" t="str">
        <f xml:space="preserve"> IFERROR( INDEX(表格1_3345[鍵盤按鍵], MATCH($Y7, 表格1_3345[方音符號], 0)), "")</f>
        <v>2</v>
      </c>
    </row>
    <row r="8" spans="1:30" ht="32.25">
      <c r="E8" s="180" cm="1">
        <f t="array" ref="E8" xml:space="preserve"> ROW() - ROW($2:$2)</f>
        <v>6</v>
      </c>
      <c r="F8" s="200" t="str">
        <f t="shared" si="2"/>
        <v>T</v>
      </c>
      <c r="G8" s="201" t="str">
        <f t="shared" si="3"/>
        <v>w</v>
      </c>
      <c r="I8" s="180">
        <v>6</v>
      </c>
      <c r="J8" s="195" t="str">
        <f t="shared" si="4"/>
        <v>w</v>
      </c>
      <c r="K8" s="195" t="str">
        <f t="shared" si="5"/>
        <v>ㄊ</v>
      </c>
      <c r="M8" s="180">
        <v>6</v>
      </c>
      <c r="N8" s="194" t="str">
        <f t="shared" si="0"/>
        <v>d</v>
      </c>
      <c r="O8" s="194" t="str">
        <f t="shared" si="1"/>
        <v>ㄌ</v>
      </c>
      <c r="Q8" s="180">
        <v>6</v>
      </c>
      <c r="R8" s="183" t="str">
        <f t="shared" si="6"/>
        <v>w</v>
      </c>
      <c r="S8" s="197" t="str">
        <f t="shared" si="7"/>
        <v>T</v>
      </c>
      <c r="T8" s="250" t="str">
        <f xml:space="preserve"> IFERROR( INDEX($K$3:$K$44, MATCH(表格1_3345[[#This Row],[鍵盤按鍵]], $J$3:$J$44,0)), "")</f>
        <v>ㄊ</v>
      </c>
      <c r="X8" s="37">
        <f t="shared" si="8"/>
        <v>6</v>
      </c>
      <c r="Y8" s="160" t="s">
        <v>39</v>
      </c>
      <c r="Z8" s="119" t="s">
        <v>40</v>
      </c>
      <c r="AA8" s="109" t="str">
        <f xml:space="preserve"> IFERROR( INDEX(表格1_3345[字典編碼], MATCH($Y8, 表格1_3345[方音符號], 0)), "")</f>
        <v>T</v>
      </c>
      <c r="AB8" s="110" t="str">
        <f xml:space="preserve"> IFERROR( INDEX(表格1_3345[鍵盤按鍵], MATCH($Y8, 表格1_3345[方音符號], 0)), "")</f>
        <v>w</v>
      </c>
    </row>
    <row r="9" spans="1:30" ht="32.25">
      <c r="E9" s="180" cm="1">
        <f t="array" ref="E9" xml:space="preserve"> ROW() - ROW($2:$2)</f>
        <v>7</v>
      </c>
      <c r="F9" s="200" t="str">
        <f t="shared" si="2"/>
        <v>n</v>
      </c>
      <c r="G9" s="201" t="str">
        <f t="shared" si="3"/>
        <v>s</v>
      </c>
      <c r="I9" s="180">
        <v>7</v>
      </c>
      <c r="J9" s="195" t="str">
        <f t="shared" si="4"/>
        <v>s</v>
      </c>
      <c r="K9" s="195" t="str">
        <f t="shared" si="5"/>
        <v>ㄋ</v>
      </c>
      <c r="M9" s="180">
        <v>7</v>
      </c>
      <c r="N9" s="194" t="str">
        <f t="shared" si="0"/>
        <v>k</v>
      </c>
      <c r="O9" s="194" t="str">
        <f t="shared" si="1"/>
        <v>ㄍ</v>
      </c>
      <c r="Q9" s="180">
        <v>7</v>
      </c>
      <c r="R9" s="183" t="str">
        <f t="shared" si="6"/>
        <v>s</v>
      </c>
      <c r="S9" s="197" t="str">
        <f t="shared" si="7"/>
        <v>n</v>
      </c>
      <c r="T9" s="250" t="str">
        <f xml:space="preserve"> IFERROR( INDEX($K$3:$K$44, MATCH(表格1_3345[[#This Row],[鍵盤按鍵]], $J$3:$J$44,0)), "")</f>
        <v>ㄋ</v>
      </c>
      <c r="X9" s="37">
        <f t="shared" si="8"/>
        <v>7</v>
      </c>
      <c r="Y9" s="160" t="s">
        <v>67</v>
      </c>
      <c r="Z9" s="119" t="s">
        <v>68</v>
      </c>
      <c r="AA9" s="109" t="str">
        <f xml:space="preserve"> IFERROR( INDEX(表格1_3345[字典編碼], MATCH($Y9, 表格1_3345[方音符號], 0)), "")</f>
        <v>n</v>
      </c>
      <c r="AB9" s="110" t="str">
        <f xml:space="preserve"> IFERROR( INDEX(表格1_3345[鍵盤按鍵], MATCH($Y9, 表格1_3345[方音符號], 0)), "")</f>
        <v>s</v>
      </c>
    </row>
    <row r="10" spans="1:30" ht="32.25">
      <c r="A10" s="238" t="s">
        <v>620</v>
      </c>
      <c r="E10" s="180" cm="1">
        <f t="array" ref="E10" xml:space="preserve"> ROW() - ROW($2:$2)</f>
        <v>8</v>
      </c>
      <c r="F10" s="210" t="str">
        <f t="shared" si="2"/>
        <v>d</v>
      </c>
      <c r="G10" s="211" t="str">
        <f t="shared" si="3"/>
        <v>x</v>
      </c>
      <c r="I10" s="180">
        <v>8</v>
      </c>
      <c r="J10" s="195" t="str">
        <f t="shared" si="4"/>
        <v>x</v>
      </c>
      <c r="K10" s="195" t="str">
        <f t="shared" si="5"/>
        <v>ㄌ</v>
      </c>
      <c r="M10" s="180">
        <v>8</v>
      </c>
      <c r="N10" s="194" t="str">
        <f t="shared" si="0"/>
        <v>K</v>
      </c>
      <c r="O10" s="194" t="str">
        <f t="shared" si="1"/>
        <v>ㄎ</v>
      </c>
      <c r="Q10" s="180">
        <v>8</v>
      </c>
      <c r="R10" s="265" t="str">
        <f t="shared" si="6"/>
        <v>x</v>
      </c>
      <c r="S10" s="266" t="str">
        <f t="shared" si="7"/>
        <v>d</v>
      </c>
      <c r="T10" s="267" t="str">
        <f xml:space="preserve"> IFERROR( INDEX($K$3:$K$44, MATCH(表格1_3345[[#This Row],[鍵盤按鍵]], $J$3:$J$44,0)), "")</f>
        <v>ㄌ</v>
      </c>
      <c r="X10" s="38">
        <f t="shared" si="8"/>
        <v>8</v>
      </c>
      <c r="Y10" s="162" t="s">
        <v>92</v>
      </c>
      <c r="Z10" s="121" t="s">
        <v>93</v>
      </c>
      <c r="AA10" s="114" t="str">
        <f xml:space="preserve"> IFERROR( INDEX(表格1_3345[字典編碼], MATCH($Y10, 表格1_3345[方音符號], 0)), "")</f>
        <v>d</v>
      </c>
      <c r="AB10" s="115" t="str">
        <f xml:space="preserve"> IFERROR( INDEX(表格1_3345[鍵盤按鍵], MATCH($Y10, 表格1_3345[方音符號], 0)), "")</f>
        <v>x</v>
      </c>
    </row>
    <row r="11" spans="1:30" ht="32.25">
      <c r="A11" s="252" t="s">
        <v>702</v>
      </c>
      <c r="E11" s="180" cm="1">
        <f t="array" ref="E11" xml:space="preserve"> ROW() - ROW($2:$2)</f>
        <v>9</v>
      </c>
      <c r="F11" s="191" t="str">
        <f t="shared" si="2"/>
        <v>k</v>
      </c>
      <c r="G11" s="192" t="str">
        <f t="shared" si="3"/>
        <v>e</v>
      </c>
      <c r="I11" s="180">
        <v>9</v>
      </c>
      <c r="J11" s="195" t="str">
        <f t="shared" si="4"/>
        <v>e</v>
      </c>
      <c r="K11" s="195" t="str">
        <f t="shared" si="5"/>
        <v>ㄍ</v>
      </c>
      <c r="M11" s="180">
        <v>9</v>
      </c>
      <c r="N11" s="194" t="str">
        <f t="shared" si="0"/>
        <v>g</v>
      </c>
      <c r="O11" s="194" t="str">
        <f t="shared" si="1"/>
        <v>ㆣ</v>
      </c>
      <c r="Q11" s="180">
        <v>9</v>
      </c>
      <c r="R11" s="183" t="str">
        <f t="shared" si="6"/>
        <v>e</v>
      </c>
      <c r="S11" s="197" t="str">
        <f t="shared" si="7"/>
        <v>k</v>
      </c>
      <c r="T11" s="250" t="str">
        <f xml:space="preserve"> IFERROR( INDEX($K$3:$K$44, MATCH(表格1_3345[[#This Row],[鍵盤按鍵]], $J$3:$J$44,0)), "")</f>
        <v>ㄍ</v>
      </c>
      <c r="X11" s="14">
        <f t="shared" si="8"/>
        <v>9</v>
      </c>
      <c r="Y11" s="160" t="s">
        <v>41</v>
      </c>
      <c r="Z11" s="119" t="s">
        <v>42</v>
      </c>
      <c r="AA11" s="109" t="str">
        <f xml:space="preserve"> IFERROR( INDEX(表格1_3345[字典編碼], MATCH($Y11, 表格1_3345[方音符號], 0)), "")</f>
        <v>k</v>
      </c>
      <c r="AB11" s="110" t="str">
        <f xml:space="preserve"> IFERROR( INDEX(表格1_3345[鍵盤按鍵], MATCH($Y11, 表格1_3345[方音符號], 0)), "")</f>
        <v>e</v>
      </c>
    </row>
    <row r="12" spans="1:30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2"/>
        <v>K</v>
      </c>
      <c r="G12" s="201" t="str">
        <f t="shared" si="3"/>
        <v>d</v>
      </c>
      <c r="I12" s="180">
        <v>10</v>
      </c>
      <c r="J12" s="195" t="str">
        <f t="shared" si="4"/>
        <v>d</v>
      </c>
      <c r="K12" s="195" t="str">
        <f t="shared" si="5"/>
        <v>ㄎ</v>
      </c>
      <c r="M12" s="180">
        <v>10</v>
      </c>
      <c r="N12" s="194" t="str">
        <f t="shared" si="0"/>
        <v>c</v>
      </c>
      <c r="O12" s="194" t="str">
        <f t="shared" si="1"/>
        <v>ㄗ</v>
      </c>
      <c r="Q12" s="180">
        <v>10</v>
      </c>
      <c r="R12" s="183" t="str">
        <f t="shared" si="6"/>
        <v>d</v>
      </c>
      <c r="S12" s="197" t="str">
        <f t="shared" si="7"/>
        <v>K</v>
      </c>
      <c r="T12" s="250" t="str">
        <f xml:space="preserve"> IFERROR( INDEX($K$3:$K$44, MATCH(表格1_3345[[#This Row],[鍵盤按鍵]], $J$3:$J$44,0)), "")</f>
        <v>ㄎ</v>
      </c>
      <c r="X12" s="14">
        <f t="shared" si="8"/>
        <v>10</v>
      </c>
      <c r="Y12" s="160" t="s">
        <v>69</v>
      </c>
      <c r="Z12" s="119" t="s">
        <v>127</v>
      </c>
      <c r="AA12" s="109" t="str">
        <f xml:space="preserve"> IFERROR( INDEX(表格1_3345[字典編碼], MATCH($Y12, 表格1_3345[方音符號], 0)), "")</f>
        <v>K</v>
      </c>
      <c r="AB12" s="110" t="str">
        <f xml:space="preserve"> IFERROR( INDEX(表格1_3345[鍵盤按鍵], MATCH($Y12, 表格1_3345[方音符號], 0)), "")</f>
        <v>d</v>
      </c>
    </row>
    <row r="13" spans="1:30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2"/>
        <v>h</v>
      </c>
      <c r="G13" s="211" t="str">
        <f t="shared" si="3"/>
        <v>c</v>
      </c>
      <c r="I13" s="180">
        <v>11</v>
      </c>
      <c r="J13" s="195" t="str">
        <f t="shared" si="4"/>
        <v>c</v>
      </c>
      <c r="K13" s="195" t="str">
        <f t="shared" si="5"/>
        <v>ㄏ</v>
      </c>
      <c r="M13" s="180">
        <v>11</v>
      </c>
      <c r="N13" s="194" t="str">
        <f t="shared" si="0"/>
        <v>C</v>
      </c>
      <c r="O13" s="194" t="str">
        <f t="shared" si="1"/>
        <v>ㄘ</v>
      </c>
      <c r="Q13" s="180">
        <v>11</v>
      </c>
      <c r="R13" s="183" t="str">
        <f t="shared" si="6"/>
        <v>c</v>
      </c>
      <c r="S13" s="197" t="str">
        <f t="shared" si="7"/>
        <v>h</v>
      </c>
      <c r="T13" s="250" t="str">
        <f xml:space="preserve"> IFERROR( INDEX($K$3:$K$44, MATCH(表格1_3345[[#This Row],[鍵盤按鍵]], $J$3:$J$44,0)), "")</f>
        <v>ㄏ</v>
      </c>
      <c r="X13" s="14">
        <f t="shared" si="8"/>
        <v>11</v>
      </c>
      <c r="Y13" s="160" t="s">
        <v>44</v>
      </c>
      <c r="Z13" s="119" t="s">
        <v>126</v>
      </c>
      <c r="AA13" s="109" t="str">
        <f xml:space="preserve"> IFERROR( INDEX(表格1_3345[字典編碼], MATCH($Y13, 表格1_3345[方音符號], 0)), "")</f>
        <v>g</v>
      </c>
      <c r="AB13" s="110" t="str">
        <f xml:space="preserve"> IFERROR( INDEX(表格1_3345[鍵盤按鍵], MATCH($Y13, 表格1_3345[方音符號], 0)), "")</f>
        <v>t</v>
      </c>
    </row>
    <row r="14" spans="1:30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2"/>
        <v>j</v>
      </c>
      <c r="G14" s="192" t="str">
        <f t="shared" si="3"/>
        <v>r</v>
      </c>
      <c r="I14" s="180">
        <v>12</v>
      </c>
      <c r="J14" s="195" t="str">
        <f t="shared" si="4"/>
        <v>r</v>
      </c>
      <c r="K14" s="195" t="str">
        <f t="shared" si="5"/>
        <v>ㄐ</v>
      </c>
      <c r="M14" s="180">
        <v>12</v>
      </c>
      <c r="N14" s="194" t="str">
        <f t="shared" si="0"/>
        <v>z</v>
      </c>
      <c r="O14" s="194" t="str">
        <f t="shared" si="1"/>
        <v>ㆡ</v>
      </c>
      <c r="Q14" s="180">
        <v>12</v>
      </c>
      <c r="R14" s="183" t="str">
        <f t="shared" si="6"/>
        <v>r</v>
      </c>
      <c r="S14" s="197" t="str">
        <f t="shared" si="7"/>
        <v>j</v>
      </c>
      <c r="T14" s="250" t="str">
        <f xml:space="preserve"> IFERROR( INDEX($K$3:$K$44, MATCH(表格1_3345[[#This Row],[鍵盤按鍵]], $J$3:$J$44,0)), "")</f>
        <v>ㄐ</v>
      </c>
      <c r="X14" s="14">
        <f t="shared" si="8"/>
        <v>12</v>
      </c>
      <c r="Y14" s="160" t="s">
        <v>72</v>
      </c>
      <c r="Z14" s="119" t="s">
        <v>128</v>
      </c>
      <c r="AA14" s="111" t="str">
        <f xml:space="preserve"> IFERROR( INDEX(表格1_3345[字典編碼], MATCH($Y14, 表格1_3345[方音符號], 0)), "")</f>
        <v>q</v>
      </c>
      <c r="AB14" s="110" t="str">
        <f xml:space="preserve"> IFERROR( INDEX(表格1_3345[鍵盤按鍵], MATCH($Y14, 表格1_3345[方音符號], 0)), "")</f>
        <v>g</v>
      </c>
    </row>
    <row r="15" spans="1:30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2"/>
        <v>J</v>
      </c>
      <c r="G15" s="201" t="str">
        <f t="shared" si="3"/>
        <v>f</v>
      </c>
      <c r="I15" s="180">
        <v>13</v>
      </c>
      <c r="J15" s="195" t="str">
        <f t="shared" si="4"/>
        <v>f</v>
      </c>
      <c r="K15" s="195" t="str">
        <f t="shared" si="5"/>
        <v>ㄑ</v>
      </c>
      <c r="M15" s="180">
        <v>13</v>
      </c>
      <c r="N15" s="194" t="str">
        <f t="shared" si="0"/>
        <v>s</v>
      </c>
      <c r="O15" s="194" t="str">
        <f t="shared" si="1"/>
        <v>ㄙ</v>
      </c>
      <c r="Q15" s="180">
        <v>13</v>
      </c>
      <c r="R15" s="183" t="str">
        <f t="shared" si="6"/>
        <v>f</v>
      </c>
      <c r="S15" s="197" t="str">
        <f t="shared" si="7"/>
        <v>J</v>
      </c>
      <c r="T15" s="250" t="str">
        <f xml:space="preserve"> IFERROR( INDEX($K$3:$K$44, MATCH(表格1_3345[[#This Row],[鍵盤按鍵]], $J$3:$J$44,0)), "")</f>
        <v>ㄑ</v>
      </c>
      <c r="X15" s="36">
        <f t="shared" si="8"/>
        <v>13</v>
      </c>
      <c r="Y15" s="161" t="s">
        <v>46</v>
      </c>
      <c r="Z15" s="120" t="s">
        <v>47</v>
      </c>
      <c r="AA15" s="112" t="str">
        <f xml:space="preserve"> IFERROR( INDEX(表格1_3345[字典編碼], MATCH($Y15, 表格1_3345[方音符號], 0)), "")</f>
        <v>c</v>
      </c>
      <c r="AB15" s="113" t="str">
        <f xml:space="preserve"> IFERROR( INDEX(表格1_3345[鍵盤按鍵], MATCH($Y15, 表格1_3345[方音符號], 0)), "")</f>
        <v>y</v>
      </c>
    </row>
    <row r="16" spans="1:30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2"/>
        <v>S</v>
      </c>
      <c r="G16" s="206" t="str">
        <f t="shared" si="3"/>
        <v>v</v>
      </c>
      <c r="I16" s="180">
        <v>14</v>
      </c>
      <c r="J16" s="195" t="str">
        <f t="shared" si="4"/>
        <v>v</v>
      </c>
      <c r="K16" s="195" t="str">
        <f t="shared" si="5"/>
        <v>ㄒ</v>
      </c>
      <c r="M16" s="180">
        <v>14</v>
      </c>
      <c r="N16" s="194" t="str">
        <f t="shared" si="0"/>
        <v>h</v>
      </c>
      <c r="O16" s="194" t="str">
        <f t="shared" si="1"/>
        <v>ㄏ</v>
      </c>
      <c r="Q16" s="180">
        <v>14</v>
      </c>
      <c r="R16" s="183" t="str">
        <f t="shared" si="6"/>
        <v>v</v>
      </c>
      <c r="S16" s="197" t="str">
        <f t="shared" si="7"/>
        <v>S</v>
      </c>
      <c r="T16" s="250" t="str">
        <f xml:space="preserve"> IFERROR( INDEX($K$3:$K$44, MATCH(表格1_3345[[#This Row],[鍵盤按鍵]], $J$3:$J$44,0)), "")</f>
        <v>ㄒ</v>
      </c>
      <c r="X16" s="37">
        <f t="shared" si="8"/>
        <v>14</v>
      </c>
      <c r="Y16" s="160" t="s">
        <v>74</v>
      </c>
      <c r="Z16" s="119" t="s">
        <v>135</v>
      </c>
      <c r="AA16" s="109" t="str">
        <f xml:space="preserve"> IFERROR( INDEX(表格1_3345[字典編碼], MATCH($Y16, 表格1_3345[方音符號], 0)), "")</f>
        <v>C</v>
      </c>
      <c r="AB16" s="110" t="str">
        <f xml:space="preserve"> IFERROR( INDEX(表格1_3345[鍵盤按鍵], MATCH($Y16, 表格1_3345[方音符號], 0)), "")</f>
        <v>h</v>
      </c>
    </row>
    <row r="17" spans="1:47" ht="32.25">
      <c r="E17" s="180" cm="1">
        <f t="array" ref="E17" xml:space="preserve"> ROW() - ROW($2:$2)</f>
        <v>15</v>
      </c>
      <c r="F17" s="191" t="str">
        <f t="shared" si="2"/>
        <v>g</v>
      </c>
      <c r="G17" s="192" t="str">
        <f t="shared" si="3"/>
        <v>t</v>
      </c>
      <c r="I17" s="180">
        <v>15</v>
      </c>
      <c r="J17" s="195" t="str">
        <f t="shared" si="4"/>
        <v>t</v>
      </c>
      <c r="K17" s="195" t="str">
        <f t="shared" si="5"/>
        <v>ㆣ</v>
      </c>
      <c r="M17" s="180">
        <v>15</v>
      </c>
      <c r="N17" s="194" t="str">
        <f t="shared" si="0"/>
        <v>i</v>
      </c>
      <c r="O17" s="194" t="str">
        <f t="shared" si="1"/>
        <v>ㄧ</v>
      </c>
      <c r="Q17" s="180">
        <v>15</v>
      </c>
      <c r="R17" s="183" t="str">
        <f t="shared" si="6"/>
        <v>t</v>
      </c>
      <c r="S17" s="197" t="str">
        <f t="shared" si="7"/>
        <v>g</v>
      </c>
      <c r="T17" s="250" t="str">
        <f xml:space="preserve"> IFERROR( INDEX($K$3:$K$44, MATCH(表格1_3345[[#This Row],[鍵盤按鍵]], $J$3:$J$44,0)), "")</f>
        <v>ㆣ</v>
      </c>
      <c r="X17" s="37">
        <f t="shared" si="8"/>
        <v>15</v>
      </c>
      <c r="Y17" s="160" t="s">
        <v>106</v>
      </c>
      <c r="Z17" s="119" t="s">
        <v>134</v>
      </c>
      <c r="AA17" s="109" t="str">
        <f xml:space="preserve"> IFERROR( INDEX(表格1_3345[字典編碼], MATCH($Y17, 表格1_3345[方音符號], 0)), "")</f>
        <v>z</v>
      </c>
      <c r="AB17" s="110" t="str">
        <f xml:space="preserve"> IFERROR( INDEX(表格1_3345[鍵盤按鍵], MATCH($Y17, 表格1_3345[方音符號], 0)), "")</f>
        <v>b</v>
      </c>
    </row>
    <row r="18" spans="1:47" ht="32.25">
      <c r="E18" s="180" cm="1">
        <f t="array" ref="E18" xml:space="preserve"> ROW() - ROW($2:$2)</f>
        <v>16</v>
      </c>
      <c r="F18" s="200" t="str">
        <f t="shared" si="2"/>
        <v>q</v>
      </c>
      <c r="G18" s="201" t="str">
        <f t="shared" si="3"/>
        <v>g</v>
      </c>
      <c r="I18" s="180">
        <v>16</v>
      </c>
      <c r="J18" s="195" t="str">
        <f t="shared" si="4"/>
        <v>g</v>
      </c>
      <c r="K18" s="195" t="str">
        <f t="shared" si="5"/>
        <v>ㄫ</v>
      </c>
      <c r="M18" s="180">
        <v>16</v>
      </c>
      <c r="N18" s="194" t="str">
        <f t="shared" si="0"/>
        <v>u</v>
      </c>
      <c r="O18" s="194" t="str">
        <f t="shared" si="1"/>
        <v>ㄨ</v>
      </c>
      <c r="Q18" s="180">
        <v>16</v>
      </c>
      <c r="R18" s="263" t="str">
        <f>G18</f>
        <v>g</v>
      </c>
      <c r="S18" s="264" t="str">
        <f t="shared" si="7"/>
        <v>q</v>
      </c>
      <c r="T18" s="250" t="str">
        <f xml:space="preserve"> IFERROR( INDEX($K$3:$K$44, MATCH(表格1_3345[[#This Row],[鍵盤按鍵]], $J$3:$J$44,0)), "")</f>
        <v>ㄫ</v>
      </c>
      <c r="X18" s="38">
        <f t="shared" si="8"/>
        <v>16</v>
      </c>
      <c r="Y18" s="162" t="s">
        <v>98</v>
      </c>
      <c r="Z18" s="121" t="s">
        <v>136</v>
      </c>
      <c r="AA18" s="114" t="str">
        <f xml:space="preserve"> IFERROR( INDEX(表格1_3345[字典編碼], MATCH($Y18, 表格1_3345[方音符號], 0)), "")</f>
        <v>s</v>
      </c>
      <c r="AB18" s="115" t="str">
        <f xml:space="preserve"> IFERROR( INDEX(表格1_3345[鍵盤按鍵], MATCH($Y18, 表格1_3345[方音符號], 0)), "")</f>
        <v>n</v>
      </c>
      <c r="AD18" s="257" t="s">
        <v>705</v>
      </c>
      <c r="AF18" s="261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180" cm="1">
        <f t="array" ref="E19" xml:space="preserve"> ROW() - ROW($2:$2)</f>
        <v>17</v>
      </c>
      <c r="F19" s="205" t="str">
        <f t="shared" si="2"/>
        <v>z</v>
      </c>
      <c r="G19" s="206" t="str">
        <f t="shared" si="3"/>
        <v>b</v>
      </c>
      <c r="I19" s="180">
        <v>17</v>
      </c>
      <c r="J19" s="195" t="str">
        <f t="shared" si="4"/>
        <v>b</v>
      </c>
      <c r="K19" s="195" t="str">
        <f t="shared" si="5"/>
        <v>ㆡ</v>
      </c>
      <c r="M19" s="180">
        <v>17</v>
      </c>
      <c r="N19" s="194" t="str">
        <f t="shared" si="0"/>
        <v>a</v>
      </c>
      <c r="O19" s="194" t="str">
        <f t="shared" si="1"/>
        <v>ㄚ</v>
      </c>
      <c r="Q19" s="180">
        <v>17</v>
      </c>
      <c r="R19" s="183" t="str">
        <f t="shared" si="6"/>
        <v>b</v>
      </c>
      <c r="S19" s="197" t="str">
        <f t="shared" si="7"/>
        <v>z</v>
      </c>
      <c r="T19" s="250" t="str">
        <f xml:space="preserve"> IFERROR( INDEX($K$3:$K$44, MATCH(表格1_3345[[#This Row],[鍵盤按鍵]], $J$3:$J$44,0)), "")</f>
        <v>ㆡ</v>
      </c>
      <c r="X19" s="14">
        <f t="shared" si="8"/>
        <v>17</v>
      </c>
      <c r="Y19" s="160" t="s">
        <v>43</v>
      </c>
      <c r="Z19" s="119" t="s">
        <v>130</v>
      </c>
      <c r="AA19" s="109" t="str">
        <f xml:space="preserve"> IFERROR( INDEX(表格1_3345[字典編碼], MATCH($Y19, 表格1_3345[方音符號], 0)), "")</f>
        <v>j</v>
      </c>
      <c r="AB19" s="110" t="str">
        <f xml:space="preserve"> IFERROR( INDEX(表格1_3345[鍵盤按鍵], MATCH($Y19, 表格1_3345[方音符號], 0)), "")</f>
        <v>r</v>
      </c>
      <c r="AD19" s="240" t="s">
        <v>700</v>
      </c>
      <c r="AE19" s="238">
        <f xml:space="preserve"> LEN(AF19)</f>
        <v>42</v>
      </c>
      <c r="AF19" s="260" t="str">
        <f xml:space="preserve"> _xlfn.CONCAT(F$3:F$44)</f>
        <v>pPmbtTndkKhjJSgqzcCsiuBaOoMIeUYLDQGN123570</v>
      </c>
      <c r="AS19" s="268" t="s">
        <v>710</v>
      </c>
      <c r="AT19" s="270" t="s">
        <v>299</v>
      </c>
      <c r="AU19" s="189">
        <f xml:space="preserve"> FIND(AT19, AF19)</f>
        <v>35</v>
      </c>
    </row>
    <row r="20" spans="1:47" ht="32.25">
      <c r="A20" s="238" t="s">
        <v>632</v>
      </c>
      <c r="E20" s="180" cm="1">
        <f t="array" ref="E20" xml:space="preserve"> ROW() - ROW($2:$2)</f>
        <v>18</v>
      </c>
      <c r="F20" s="216" t="str">
        <f t="shared" si="2"/>
        <v>c</v>
      </c>
      <c r="G20" s="217" t="str">
        <f t="shared" si="3"/>
        <v>y</v>
      </c>
      <c r="I20" s="180">
        <v>18</v>
      </c>
      <c r="J20" s="195" t="str">
        <f t="shared" si="4"/>
        <v>y</v>
      </c>
      <c r="K20" s="195" t="str">
        <f t="shared" si="5"/>
        <v>ㄗ</v>
      </c>
      <c r="M20" s="180">
        <v>18</v>
      </c>
      <c r="N20" s="194" t="s">
        <v>304</v>
      </c>
      <c r="O20" s="194" t="str">
        <f t="shared" si="1"/>
        <v>ㆦ</v>
      </c>
      <c r="Q20" s="180">
        <v>18</v>
      </c>
      <c r="R20" s="183" t="str">
        <f t="shared" si="6"/>
        <v>y</v>
      </c>
      <c r="S20" s="197" t="str">
        <f t="shared" si="7"/>
        <v>c</v>
      </c>
      <c r="T20" s="250" t="str">
        <f xml:space="preserve"> IFERROR( INDEX($K$3:$K$44, MATCH(表格1_3345[[#This Row],[鍵盤按鍵]], $J$3:$J$44,0)), "")</f>
        <v>ㄗ</v>
      </c>
      <c r="X20" s="14">
        <f t="shared" si="8"/>
        <v>18</v>
      </c>
      <c r="Y20" s="160" t="s">
        <v>71</v>
      </c>
      <c r="Z20" s="119" t="s">
        <v>132</v>
      </c>
      <c r="AA20" s="109" t="str">
        <f xml:space="preserve"> IFERROR( INDEX(表格1_3345[字典編碼], MATCH($Y20, 表格1_3345[方音符號], 0)), "")</f>
        <v>J</v>
      </c>
      <c r="AB20" s="110" t="str">
        <f xml:space="preserve"> IFERROR( INDEX(表格1_3345[鍵盤按鍵], MATCH($Y20, 表格1_3345[方音符號], 0)), "")</f>
        <v>f</v>
      </c>
      <c r="AD20" s="255" t="s">
        <v>703</v>
      </c>
      <c r="AE20" s="238">
        <f xml:space="preserve"> LEN(AF20)</f>
        <v>42</v>
      </c>
      <c r="AF20" s="260" t="str">
        <f xml:space="preserve"> _xlfn.CONCAT(G$3:G$44)</f>
        <v>1qaz2wsxedcrfvtgbyhnujm8ik,9ol.0p;/- 43657</v>
      </c>
      <c r="AO20" s="258" t="str">
        <f xml:space="preserve"> MID("/", AE19, 1)</f>
        <v/>
      </c>
      <c r="AT20" s="258" t="str">
        <f xml:space="preserve"> MID(AF20, AU19, 1)</f>
        <v>/</v>
      </c>
      <c r="AU20" s="189"/>
    </row>
    <row r="21" spans="1:47" ht="32.25">
      <c r="A21" s="252" t="s">
        <v>708</v>
      </c>
      <c r="E21" s="180" cm="1">
        <f t="array" ref="E21" xml:space="preserve"> ROW() - ROW($2:$2)</f>
        <v>19</v>
      </c>
      <c r="F21" s="221" t="str">
        <f t="shared" si="2"/>
        <v>C</v>
      </c>
      <c r="G21" s="222" t="str">
        <f t="shared" si="3"/>
        <v>h</v>
      </c>
      <c r="I21" s="180">
        <v>19</v>
      </c>
      <c r="J21" s="195" t="str">
        <f t="shared" si="4"/>
        <v>h</v>
      </c>
      <c r="K21" s="195" t="str">
        <f t="shared" si="5"/>
        <v>ㄘ</v>
      </c>
      <c r="M21" s="180">
        <v>19</v>
      </c>
      <c r="N21" s="194" t="s">
        <v>139</v>
      </c>
      <c r="O21" s="194" t="str">
        <f t="shared" si="1"/>
        <v>ㄜ</v>
      </c>
      <c r="Q21" s="180">
        <v>19</v>
      </c>
      <c r="R21" s="183" t="str">
        <f t="shared" si="6"/>
        <v>h</v>
      </c>
      <c r="S21" s="197" t="str">
        <f t="shared" si="7"/>
        <v>C</v>
      </c>
      <c r="T21" s="250" t="str">
        <f xml:space="preserve"> IFERROR( INDEX($K$3:$K$44, MATCH(表格1_3345[[#This Row],[鍵盤按鍵]], $J$3:$J$44,0)), "")</f>
        <v>ㄘ</v>
      </c>
      <c r="X21" s="14">
        <f t="shared" si="8"/>
        <v>19</v>
      </c>
      <c r="Y21" s="160" t="s">
        <v>105</v>
      </c>
      <c r="Z21" s="119" t="s">
        <v>131</v>
      </c>
      <c r="AA21" s="109" t="str">
        <f xml:space="preserve"> IFERROR( INDEX(表格1_3345[字典編碼], MATCH($Y21, 表格1_3345[方音符號], 0)), "")</f>
        <v/>
      </c>
      <c r="AB21" s="110" t="str">
        <f xml:space="preserve"> IFERROR( INDEX(表格1_3345[鍵盤按鍵], MATCH($Y21, 表格1_3345[方音符號], 0)), "")</f>
        <v/>
      </c>
      <c r="AF21" s="258"/>
    </row>
    <row r="22" spans="1:47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2"/>
        <v>s</v>
      </c>
      <c r="G22" s="206" t="str">
        <f t="shared" si="3"/>
        <v>n</v>
      </c>
      <c r="I22" s="180">
        <v>20</v>
      </c>
      <c r="J22" s="195" t="str">
        <f t="shared" si="4"/>
        <v>n</v>
      </c>
      <c r="K22" s="195" t="str">
        <f t="shared" si="5"/>
        <v>ㄙ</v>
      </c>
      <c r="M22" s="180">
        <v>20</v>
      </c>
      <c r="N22" s="194" t="str">
        <f t="shared" ref="N22:N44" si="9" xml:space="preserve"> IFERROR( MID($A$25, $E22, 1), "")</f>
        <v>e</v>
      </c>
      <c r="O22" s="194" t="str">
        <f t="shared" si="1"/>
        <v>ㆤ</v>
      </c>
      <c r="Q22" s="180">
        <v>20</v>
      </c>
      <c r="R22" s="183" t="str">
        <f t="shared" si="6"/>
        <v>n</v>
      </c>
      <c r="S22" s="197" t="str">
        <f t="shared" si="7"/>
        <v>s</v>
      </c>
      <c r="T22" s="250" t="str">
        <f xml:space="preserve"> IFERROR( INDEX($K$3:$K$44, MATCH(表格1_3345[[#This Row],[鍵盤按鍵]], $J$3:$J$44,0)), "")</f>
        <v>ㄙ</v>
      </c>
      <c r="X22" s="14">
        <f t="shared" si="8"/>
        <v>20</v>
      </c>
      <c r="Y22" s="160" t="s">
        <v>273</v>
      </c>
      <c r="Z22" s="119" t="s">
        <v>133</v>
      </c>
      <c r="AA22" s="109" t="str">
        <f xml:space="preserve"> IFERROR( INDEX(表格1_3345[字典編碼], MATCH($Y22, 表格1_3345[方音符號], 0)), "")</f>
        <v>S</v>
      </c>
      <c r="AB22" s="110" t="str">
        <f xml:space="preserve"> IFERROR( INDEX(表格1_3345[鍵盤按鍵], MATCH($Y22, 表格1_3345[方音符號], 0)), "")</f>
        <v>v</v>
      </c>
      <c r="AD22" s="257" t="s">
        <v>706</v>
      </c>
      <c r="AF22" s="262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2"/>
        <v>i</v>
      </c>
      <c r="G23" s="225" t="str">
        <f t="shared" si="3"/>
        <v>u</v>
      </c>
      <c r="I23" s="180">
        <v>21</v>
      </c>
      <c r="J23" s="195" t="str">
        <f t="shared" si="4"/>
        <v>u</v>
      </c>
      <c r="K23" s="195" t="str">
        <f t="shared" si="5"/>
        <v>ㄧ</v>
      </c>
      <c r="M23" s="180">
        <v>21</v>
      </c>
      <c r="N23" s="194" t="str">
        <f t="shared" si="9"/>
        <v>I</v>
      </c>
      <c r="O23" s="194" t="str">
        <f t="shared" si="1"/>
        <v>ㄞ</v>
      </c>
      <c r="Q23" s="180">
        <v>21</v>
      </c>
      <c r="R23" s="183" t="str">
        <f t="shared" si="6"/>
        <v>u</v>
      </c>
      <c r="S23" s="197" t="str">
        <f t="shared" si="7"/>
        <v>i</v>
      </c>
      <c r="T23" s="250" t="str">
        <f xml:space="preserve"> IFERROR( INDEX($K$3:$K$44, MATCH(表格1_3345[[#This Row],[鍵盤按鍵]], $J$3:$J$44,0)), "")</f>
        <v>ㄧ</v>
      </c>
      <c r="X23" s="35">
        <f t="shared" si="8"/>
        <v>21</v>
      </c>
      <c r="Y23" s="163" t="s">
        <v>94</v>
      </c>
      <c r="Z23" s="122" t="s">
        <v>129</v>
      </c>
      <c r="AA23" s="116" t="str">
        <f xml:space="preserve"> IFERROR( INDEX(表格1_3345[字典編碼], MATCH($Y23, 表格1_3345[方音符號], 0)), "")</f>
        <v>h</v>
      </c>
      <c r="AB23" s="117" t="str">
        <f xml:space="preserve"> IFERROR( INDEX(表格1_3345[鍵盤按鍵], MATCH($Y23, 表格1_3345[方音符號], 0)), "")</f>
        <v>c</v>
      </c>
      <c r="AD23" s="255" t="s">
        <v>703</v>
      </c>
      <c r="AE23" s="238">
        <f xml:space="preserve"> LEN(AF23)</f>
        <v>41</v>
      </c>
      <c r="AF23" s="260" t="str">
        <f xml:space="preserve"> _xlfn.CONCAT(J$3:J$43)</f>
        <v>1qaz2wsxedcrfvtgbyhnujm8ik,9ol.0p;/-43657</v>
      </c>
      <c r="AS23" s="268" t="s">
        <v>710</v>
      </c>
      <c r="AT23" s="269" t="str">
        <f>AT20</f>
        <v>/</v>
      </c>
      <c r="AU23" s="189">
        <f xml:space="preserve"> FIND(AT23, AF23)</f>
        <v>35</v>
      </c>
    </row>
    <row r="24" spans="1:47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2"/>
        <v>u</v>
      </c>
      <c r="G24" s="225" t="str">
        <f t="shared" si="3"/>
        <v>j</v>
      </c>
      <c r="I24" s="180">
        <v>22</v>
      </c>
      <c r="J24" s="195" t="str">
        <f t="shared" si="4"/>
        <v>j</v>
      </c>
      <c r="K24" s="195" t="str">
        <f t="shared" si="5"/>
        <v>ㄨ</v>
      </c>
      <c r="M24" s="180">
        <v>22</v>
      </c>
      <c r="N24" s="194" t="str">
        <f t="shared" si="9"/>
        <v>U</v>
      </c>
      <c r="O24" s="194" t="str">
        <f t="shared" si="1"/>
        <v>ㄠ</v>
      </c>
      <c r="Q24" s="180">
        <v>22</v>
      </c>
      <c r="R24" s="183" t="str">
        <f t="shared" si="6"/>
        <v>j</v>
      </c>
      <c r="S24" s="197" t="str">
        <f t="shared" si="7"/>
        <v>u</v>
      </c>
      <c r="T24" s="250" t="str">
        <f xml:space="preserve"> IFERROR( INDEX($K$3:$K$44, MATCH(表格1_3345[[#This Row],[鍵盤按鍵]], $J$3:$J$44,0)), "")</f>
        <v>ㄨ</v>
      </c>
      <c r="X24" s="39">
        <f t="shared" si="8"/>
        <v>22</v>
      </c>
      <c r="Y24" s="161" t="s">
        <v>20</v>
      </c>
      <c r="Z24" s="120" t="s">
        <v>137</v>
      </c>
      <c r="AA24" s="112" t="str">
        <f xml:space="preserve"> IFERROR( INDEX(表格1_3345[字典編碼], MATCH($Y24, 表格1_3345[方音符號], 0)), "")</f>
        <v>a</v>
      </c>
      <c r="AB24" s="113" t="str">
        <f xml:space="preserve"> IFERROR( INDEX(表格1_3345[鍵盤按鍵], MATCH($Y24, 表格1_3345[方音符號], 0)), "")</f>
        <v>8</v>
      </c>
      <c r="AD24" s="241" t="s">
        <v>389</v>
      </c>
      <c r="AE24" s="238">
        <f xml:space="preserve"> LEN(AF24)</f>
        <v>41</v>
      </c>
      <c r="AF24" s="260" t="str">
        <f xml:space="preserve"> _xlfn.CONCAT(K$3:K$43)</f>
        <v>ㄅㄆㄇㆠㄉㄊㄋㄌㄍㄎㄏㄐㄑㄒㆣㄫㆡㄗㄘㄙㄧㄨㆬㄚㆦㄜㆰㄞㆤㄠㆲㄢㄣㄤㆭｎˋ˪ˊ˫．</v>
      </c>
      <c r="AT24" s="258" t="str">
        <f xml:space="preserve"> MID(AF24, AU23, 1)</f>
        <v>ㆭ</v>
      </c>
      <c r="AU24" s="189"/>
    </row>
    <row r="25" spans="1:47" ht="32.25">
      <c r="A25" s="235" t="str">
        <f xml:space="preserve"> MID($A$21,A22+1, A23-A22-1)</f>
        <v>pPbtTdkKgcCzshiuaoøeIUBDGN</v>
      </c>
      <c r="B25" s="180">
        <f xml:space="preserve"> LEN(A25)</f>
        <v>26</v>
      </c>
      <c r="E25" s="180" cm="1">
        <f t="array" ref="E25" xml:space="preserve"> ROW() - ROW($2:$2)</f>
        <v>23</v>
      </c>
      <c r="F25" s="225" t="str">
        <f t="shared" si="2"/>
        <v>B</v>
      </c>
      <c r="G25" s="225" t="str">
        <f t="shared" si="3"/>
        <v>m</v>
      </c>
      <c r="I25" s="180">
        <v>23</v>
      </c>
      <c r="J25" s="195" t="str">
        <f t="shared" si="4"/>
        <v>m</v>
      </c>
      <c r="K25" s="195" t="str">
        <f t="shared" si="5"/>
        <v>ㆬ</v>
      </c>
      <c r="M25" s="180">
        <v>23</v>
      </c>
      <c r="N25" s="194" t="str">
        <f t="shared" si="9"/>
        <v>B</v>
      </c>
      <c r="O25" s="194" t="str">
        <f t="shared" si="1"/>
        <v>ㆬ</v>
      </c>
      <c r="Q25" s="180">
        <v>23</v>
      </c>
      <c r="R25" s="183" t="str">
        <f t="shared" si="6"/>
        <v>m</v>
      </c>
      <c r="S25" s="197" t="str">
        <f t="shared" si="7"/>
        <v>B</v>
      </c>
      <c r="T25" s="250" t="str">
        <f xml:space="preserve"> IFERROR( INDEX($K$3:$K$44, MATCH(表格1_3345[[#This Row],[鍵盤按鍵]], $J$3:$J$44,0)), "")</f>
        <v>ㆬ</v>
      </c>
      <c r="X25" s="14">
        <f t="shared" si="8"/>
        <v>23</v>
      </c>
      <c r="Y25" s="160" t="s">
        <v>107</v>
      </c>
      <c r="Z25" s="119" t="s">
        <v>138</v>
      </c>
      <c r="AA25" s="109" t="str">
        <f xml:space="preserve"> IFERROR( INDEX(表格1_3345[字典編碼], MATCH($Y25, 表格1_3345[方音符號], 0)), "")</f>
        <v/>
      </c>
      <c r="AB25" s="110" t="str">
        <f xml:space="preserve"> IFERROR( INDEX(表格1_3345[鍵盤按鍵], MATCH($Y25, 表格1_3345[方音符號], 0)), "")</f>
        <v/>
      </c>
      <c r="AG25" s="259"/>
    </row>
    <row r="26" spans="1:47" ht="32.25">
      <c r="A26" s="235" t="str">
        <f xml:space="preserve"> MID($A$21,A23+1, A24-A23-1)</f>
        <v>ㄅㄆㆠㄉㄊㄌㄍㄎㆣㄗㄘㆡㄙㄏㄧㄨㄚㆦㄜㆤㄞㄠㆬㄣㆭｎ</v>
      </c>
      <c r="B26" s="180">
        <f xml:space="preserve"> LEN(A26)</f>
        <v>26</v>
      </c>
      <c r="E26" s="180" cm="1">
        <f t="array" ref="E26" xml:space="preserve"> ROW() - ROW($2:$2)</f>
        <v>24</v>
      </c>
      <c r="F26" s="225" t="str">
        <f t="shared" si="2"/>
        <v>a</v>
      </c>
      <c r="G26" s="225" t="str">
        <f t="shared" si="3"/>
        <v>8</v>
      </c>
      <c r="I26" s="180">
        <v>24</v>
      </c>
      <c r="J26" s="195" t="str">
        <f t="shared" si="4"/>
        <v>8</v>
      </c>
      <c r="K26" s="195" t="str">
        <f t="shared" si="5"/>
        <v>ㄚ</v>
      </c>
      <c r="M26" s="180">
        <v>24</v>
      </c>
      <c r="N26" s="194" t="str">
        <f t="shared" si="9"/>
        <v>D</v>
      </c>
      <c r="O26" s="194" t="str">
        <f t="shared" si="1"/>
        <v>ㄣ</v>
      </c>
      <c r="Q26" s="180">
        <v>24</v>
      </c>
      <c r="R26" s="183" t="str">
        <f t="shared" si="6"/>
        <v>8</v>
      </c>
      <c r="S26" s="197" t="str">
        <f t="shared" si="7"/>
        <v>a</v>
      </c>
      <c r="T26" s="250" t="str">
        <f xml:space="preserve"> IFERROR( INDEX($K$3:$K$44, MATCH(表格1_3345[[#This Row],[鍵盤按鍵]], $J$3:$J$44,0)), "")</f>
        <v>ㄚ</v>
      </c>
      <c r="X26" s="14">
        <f t="shared" si="8"/>
        <v>24</v>
      </c>
      <c r="Y26" s="160" t="s">
        <v>50</v>
      </c>
      <c r="Z26" s="119" t="s">
        <v>139</v>
      </c>
      <c r="AA26" s="109" t="str">
        <f xml:space="preserve"> IFERROR( INDEX(表格1_3345[字典編碼], MATCH($Y26, 表格1_3345[方音符號], 0)), "")</f>
        <v>O</v>
      </c>
      <c r="AB26" s="110" t="str">
        <f xml:space="preserve"> IFERROR( INDEX(表格1_3345[鍵盤按鍵], MATCH($Y26, 表格1_3345[方音符號], 0)), "")</f>
        <v>i</v>
      </c>
      <c r="AD26" s="257" t="s">
        <v>707</v>
      </c>
      <c r="AF26" s="261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180" cm="1">
        <f t="array" ref="E27" xml:space="preserve"> ROW() - ROW($2:$2)</f>
        <v>25</v>
      </c>
      <c r="F27" s="225" t="s">
        <v>304</v>
      </c>
      <c r="G27" s="225" t="str">
        <f t="shared" si="3"/>
        <v>i</v>
      </c>
      <c r="I27" s="180">
        <v>25</v>
      </c>
      <c r="J27" s="195" t="str">
        <f t="shared" si="4"/>
        <v>i</v>
      </c>
      <c r="K27" s="195" t="str">
        <f t="shared" si="5"/>
        <v>ㆦ</v>
      </c>
      <c r="M27" s="180">
        <v>25</v>
      </c>
      <c r="N27" s="194" t="str">
        <f t="shared" si="9"/>
        <v>G</v>
      </c>
      <c r="O27" s="194" t="str">
        <f t="shared" si="1"/>
        <v>ㆭ</v>
      </c>
      <c r="Q27" s="180">
        <v>25</v>
      </c>
      <c r="R27" s="183" t="str">
        <f t="shared" si="6"/>
        <v>i</v>
      </c>
      <c r="S27" s="254" t="s">
        <v>304</v>
      </c>
      <c r="T27" s="250" t="str">
        <f xml:space="preserve"> IFERROR( INDEX($K$3:$K$44, MATCH(表格1_3345[[#This Row],[鍵盤按鍵]], $J$3:$J$44,0)), "")</f>
        <v>ㆦ</v>
      </c>
      <c r="X27" s="14">
        <f t="shared" si="8"/>
        <v>25</v>
      </c>
      <c r="Y27" s="160" t="s">
        <v>108</v>
      </c>
      <c r="Z27" s="119" t="s">
        <v>140</v>
      </c>
      <c r="AA27" s="109" t="str">
        <f xml:space="preserve"> IFERROR( INDEX(表格1_3345[字典編碼], MATCH($Y27, 表格1_3345[方音符號], 0)), "")</f>
        <v/>
      </c>
      <c r="AB27" s="110" t="str">
        <f xml:space="preserve"> IFERROR( INDEX(表格1_3345[鍵盤按鍵], MATCH($Y27, 表格1_3345[方音符號], 0)), "")</f>
        <v/>
      </c>
      <c r="AD27" s="240" t="s">
        <v>700</v>
      </c>
      <c r="AE27" s="238">
        <f xml:space="preserve"> LEN(AF27)</f>
        <v>26</v>
      </c>
      <c r="AF27" s="260" t="str">
        <f xml:space="preserve"> _xlfn.CONCAT(N$3:N$28)</f>
        <v>pPbtTdkKgcCzshiuaOoeIUBDGN</v>
      </c>
      <c r="AS27" s="268" t="s">
        <v>710</v>
      </c>
      <c r="AT27" s="269" t="str">
        <f>AT19</f>
        <v>G</v>
      </c>
      <c r="AU27" s="189">
        <f xml:space="preserve"> FIND(AT27, AF27)</f>
        <v>25</v>
      </c>
    </row>
    <row r="28" spans="1:47" ht="32.25">
      <c r="E28" s="180" cm="1">
        <f t="array" ref="E28" xml:space="preserve"> ROW() - ROW($2:$2)</f>
        <v>26</v>
      </c>
      <c r="F28" s="225" t="s">
        <v>139</v>
      </c>
      <c r="G28" s="225" t="str">
        <f t="shared" si="3"/>
        <v>k</v>
      </c>
      <c r="I28" s="180">
        <v>26</v>
      </c>
      <c r="J28" s="195" t="str">
        <f t="shared" si="4"/>
        <v>k</v>
      </c>
      <c r="K28" s="195" t="str">
        <f t="shared" si="5"/>
        <v>ㄜ</v>
      </c>
      <c r="M28" s="180">
        <v>26</v>
      </c>
      <c r="N28" s="194" t="str">
        <f t="shared" si="9"/>
        <v>N</v>
      </c>
      <c r="O28" s="194" t="str">
        <f t="shared" si="1"/>
        <v>ｎ</v>
      </c>
      <c r="Q28" s="180">
        <v>26</v>
      </c>
      <c r="R28" s="183" t="str">
        <f t="shared" si="6"/>
        <v>k</v>
      </c>
      <c r="S28" s="254" t="s">
        <v>139</v>
      </c>
      <c r="T28" s="250" t="str">
        <f xml:space="preserve"> IFERROR( INDEX($K$3:$K$44, MATCH(表格1_3345[[#This Row],[鍵盤按鍵]], $J$3:$J$44,0)), "")</f>
        <v>ㄜ</v>
      </c>
      <c r="X28" s="14">
        <f t="shared" si="8"/>
        <v>26</v>
      </c>
      <c r="Y28" s="160" t="s">
        <v>109</v>
      </c>
      <c r="Z28" s="119" t="s">
        <v>79</v>
      </c>
      <c r="AA28" s="109" t="str">
        <f xml:space="preserve"> IFERROR( INDEX(表格1_3345[字典編碼], MATCH($Y28, 表格1_3345[方音符號], 0)), "")</f>
        <v>o</v>
      </c>
      <c r="AB28" s="110" t="str">
        <f xml:space="preserve"> IFERROR( INDEX(表格1_3345[鍵盤按鍵], MATCH($Y28, 表格1_3345[方音符號], 0)), "")</f>
        <v>k</v>
      </c>
      <c r="AD28" s="241" t="s">
        <v>389</v>
      </c>
      <c r="AE28" s="238">
        <f xml:space="preserve"> LEN(AF28)</f>
        <v>26</v>
      </c>
      <c r="AF28" s="260" t="str">
        <f xml:space="preserve"> _xlfn.CONCAT(O$3:O$28)</f>
        <v>ㄅㄆㆠㄉㄊㄌㄍㄎㆣㄗㄘㆡㄙㄏㄧㄨㄚㆦㄜㆤㄞㄠㆬㄣㆭｎ</v>
      </c>
      <c r="AT28" s="258" t="str">
        <f xml:space="preserve"> MID(AF28, AU27, 1)</f>
        <v>ㆭ</v>
      </c>
      <c r="AU28" s="189"/>
    </row>
    <row r="29" spans="1:47" ht="32.25">
      <c r="E29" s="180" cm="1">
        <f t="array" ref="E29" xml:space="preserve"> ROW() - ROW($2:$2)</f>
        <v>27</v>
      </c>
      <c r="F29" s="225" t="str">
        <f t="shared" si="2"/>
        <v>M</v>
      </c>
      <c r="G29" s="225" t="str">
        <f t="shared" si="3"/>
        <v>,</v>
      </c>
      <c r="I29" s="180">
        <v>27</v>
      </c>
      <c r="J29" s="195" t="str">
        <f t="shared" si="4"/>
        <v>,</v>
      </c>
      <c r="K29" s="195" t="str">
        <f t="shared" si="5"/>
        <v>ㆰ</v>
      </c>
      <c r="M29" s="180">
        <v>27</v>
      </c>
      <c r="N29" s="194" t="str">
        <f t="shared" si="9"/>
        <v/>
      </c>
      <c r="O29" s="194" t="str">
        <f t="shared" si="1"/>
        <v/>
      </c>
      <c r="Q29" s="180">
        <v>27</v>
      </c>
      <c r="R29" s="183" t="str">
        <f t="shared" si="6"/>
        <v>,</v>
      </c>
      <c r="S29" s="197" t="str">
        <f t="shared" si="7"/>
        <v>M</v>
      </c>
      <c r="T29" s="250" t="str">
        <f xml:space="preserve"> IFERROR( INDEX($K$3:$K$44, MATCH(表格1_3345[[#This Row],[鍵盤按鍵]], $J$3:$J$44,0)), "")</f>
        <v>ㆰ</v>
      </c>
      <c r="X29" s="14">
        <f t="shared" si="8"/>
        <v>27</v>
      </c>
      <c r="Y29" s="160" t="s">
        <v>52</v>
      </c>
      <c r="Z29" s="119" t="s">
        <v>141</v>
      </c>
      <c r="AA29" s="109" t="str">
        <f xml:space="preserve"> IFERROR( INDEX(表格1_3345[字典編碼], MATCH($Y29, 表格1_3345[方音符號], 0)), "")</f>
        <v>e</v>
      </c>
      <c r="AB29" s="110" t="str">
        <f xml:space="preserve"> IFERROR( INDEX(表格1_3345[鍵盤按鍵], MATCH($Y29, 表格1_3345[方音符號], 0)), "")</f>
        <v>o</v>
      </c>
    </row>
    <row r="30" spans="1:47" ht="32.25">
      <c r="E30" s="180" cm="1">
        <f t="array" ref="E30" xml:space="preserve"> ROW() - ROW($2:$2)</f>
        <v>28</v>
      </c>
      <c r="F30" s="225" t="str">
        <f t="shared" si="2"/>
        <v>I</v>
      </c>
      <c r="G30" s="225" t="str">
        <f t="shared" si="3"/>
        <v>9</v>
      </c>
      <c r="I30" s="180">
        <v>28</v>
      </c>
      <c r="J30" s="195" t="str">
        <f t="shared" si="4"/>
        <v>9</v>
      </c>
      <c r="K30" s="195" t="str">
        <f t="shared" si="5"/>
        <v>ㄞ</v>
      </c>
      <c r="M30" s="180">
        <v>28</v>
      </c>
      <c r="N30" s="194" t="str">
        <f t="shared" si="9"/>
        <v/>
      </c>
      <c r="O30" s="194" t="str">
        <f t="shared" si="1"/>
        <v/>
      </c>
      <c r="Q30" s="180">
        <v>28</v>
      </c>
      <c r="R30" s="183" t="str">
        <f t="shared" si="6"/>
        <v>9</v>
      </c>
      <c r="S30" s="197" t="str">
        <f t="shared" si="7"/>
        <v>I</v>
      </c>
      <c r="T30" s="250" t="str">
        <f xml:space="preserve"> IFERROR( INDEX($K$3:$K$44, MATCH(表格1_3345[[#This Row],[鍵盤按鍵]], $J$3:$J$44,0)), "")</f>
        <v>ㄞ</v>
      </c>
      <c r="X30" s="40">
        <f t="shared" si="8"/>
        <v>28</v>
      </c>
      <c r="Y30" s="162" t="s">
        <v>110</v>
      </c>
      <c r="Z30" s="121" t="s">
        <v>142</v>
      </c>
      <c r="AA30" s="114" t="str">
        <f xml:space="preserve"> IFERROR( INDEX(表格1_3345[字典編碼], MATCH($Y30, 表格1_3345[方音符號], 0)), "")</f>
        <v/>
      </c>
      <c r="AB30" s="115" t="str">
        <f xml:space="preserve"> IFERROR( INDEX(表格1_3345[鍵盤按鍵], MATCH($Y30, 表格1_3345[方音符號], 0)), "")</f>
        <v/>
      </c>
    </row>
    <row r="31" spans="1:47" ht="32.25">
      <c r="E31" s="180" cm="1">
        <f t="array" ref="E31" xml:space="preserve"> ROW() - ROW($2:$2)</f>
        <v>29</v>
      </c>
      <c r="F31" s="225" t="str">
        <f t="shared" si="2"/>
        <v>e</v>
      </c>
      <c r="G31" s="225" t="str">
        <f t="shared" si="3"/>
        <v>o</v>
      </c>
      <c r="I31" s="180">
        <v>29</v>
      </c>
      <c r="J31" s="195" t="str">
        <f t="shared" si="4"/>
        <v>o</v>
      </c>
      <c r="K31" s="195" t="str">
        <f t="shared" si="5"/>
        <v>ㆤ</v>
      </c>
      <c r="M31" s="180">
        <v>29</v>
      </c>
      <c r="N31" s="194" t="str">
        <f t="shared" si="9"/>
        <v/>
      </c>
      <c r="O31" s="194" t="str">
        <f t="shared" si="1"/>
        <v/>
      </c>
      <c r="Q31" s="180">
        <v>29</v>
      </c>
      <c r="R31" s="183" t="str">
        <f t="shared" si="6"/>
        <v>o</v>
      </c>
      <c r="S31" s="197" t="str">
        <f t="shared" si="7"/>
        <v>e</v>
      </c>
      <c r="T31" s="250" t="str">
        <f xml:space="preserve"> IFERROR( INDEX($K$3:$K$44, MATCH(表格1_3345[[#This Row],[鍵盤按鍵]], $J$3:$J$44,0)), "")</f>
        <v>ㆤ</v>
      </c>
      <c r="X31" s="39">
        <f t="shared" si="8"/>
        <v>29</v>
      </c>
      <c r="Y31" s="161" t="s">
        <v>48</v>
      </c>
      <c r="Z31" s="120" t="s">
        <v>154</v>
      </c>
      <c r="AA31" s="112" t="str">
        <f xml:space="preserve"> IFERROR( INDEX(表格1_3345[字典編碼], MATCH($Y31, 表格1_3345[方音符號], 0)), "")</f>
        <v>i</v>
      </c>
      <c r="AB31" s="113" t="str">
        <f xml:space="preserve"> IFERROR( INDEX(表格1_3345[鍵盤按鍵], MATCH($Y31, 表格1_3345[方音符號], 0)), "")</f>
        <v>u</v>
      </c>
    </row>
    <row r="32" spans="1:47" ht="32.25">
      <c r="E32" s="180" cm="1">
        <f t="array" ref="E32" xml:space="preserve"> ROW() - ROW($2:$2)</f>
        <v>30</v>
      </c>
      <c r="F32" s="225" t="str">
        <f t="shared" si="2"/>
        <v>U</v>
      </c>
      <c r="G32" s="225" t="str">
        <f t="shared" si="3"/>
        <v>l</v>
      </c>
      <c r="I32" s="180">
        <v>30</v>
      </c>
      <c r="J32" s="195" t="str">
        <f t="shared" si="4"/>
        <v>l</v>
      </c>
      <c r="K32" s="195" t="str">
        <f t="shared" si="5"/>
        <v>ㄠ</v>
      </c>
      <c r="M32" s="180">
        <v>30</v>
      </c>
      <c r="N32" s="194" t="str">
        <f t="shared" si="9"/>
        <v/>
      </c>
      <c r="O32" s="194" t="str">
        <f t="shared" si="1"/>
        <v/>
      </c>
      <c r="Q32" s="180">
        <v>30</v>
      </c>
      <c r="R32" s="183" t="str">
        <f t="shared" si="6"/>
        <v>l</v>
      </c>
      <c r="S32" s="197" t="str">
        <f t="shared" si="7"/>
        <v>U</v>
      </c>
      <c r="T32" s="250" t="str">
        <f xml:space="preserve"> IFERROR( INDEX($K$3:$K$44, MATCH(表格1_3345[[#This Row],[鍵盤按鍵]], $J$3:$J$44,0)), "")</f>
        <v>ㄠ</v>
      </c>
      <c r="X32" s="14">
        <f t="shared" si="8"/>
        <v>30</v>
      </c>
      <c r="Y32" s="160" t="s">
        <v>116</v>
      </c>
      <c r="Z32" s="119" t="s">
        <v>155</v>
      </c>
      <c r="AA32" s="109" t="str">
        <f xml:space="preserve"> IFERROR( INDEX(表格1_3345[字典編碼], MATCH($Y32, 表格1_3345[方音符號], 0)), "")</f>
        <v/>
      </c>
      <c r="AB32" s="110" t="str">
        <f xml:space="preserve"> IFERROR( INDEX(表格1_3345[鍵盤按鍵], MATCH($Y32, 表格1_3345[方音符號], 0)), "")</f>
        <v/>
      </c>
    </row>
    <row r="33" spans="5:28" ht="32.25">
      <c r="E33" s="180" cm="1">
        <f t="array" ref="E33" xml:space="preserve"> ROW() - ROW($2:$2)</f>
        <v>31</v>
      </c>
      <c r="F33" s="225" t="str">
        <f t="shared" si="2"/>
        <v>Y</v>
      </c>
      <c r="G33" s="225" t="str">
        <f t="shared" si="3"/>
        <v>.</v>
      </c>
      <c r="I33" s="180">
        <v>31</v>
      </c>
      <c r="J33" s="195" t="str">
        <f t="shared" si="4"/>
        <v>.</v>
      </c>
      <c r="K33" s="195" t="str">
        <f t="shared" si="5"/>
        <v>ㆲ</v>
      </c>
      <c r="M33" s="180">
        <v>31</v>
      </c>
      <c r="N33" s="194" t="str">
        <f t="shared" si="9"/>
        <v/>
      </c>
      <c r="O33" s="194" t="str">
        <f t="shared" si="1"/>
        <v/>
      </c>
      <c r="Q33" s="180">
        <v>31</v>
      </c>
      <c r="R33" s="183" t="str">
        <f t="shared" si="6"/>
        <v>.</v>
      </c>
      <c r="S33" s="197" t="str">
        <f t="shared" si="7"/>
        <v>Y</v>
      </c>
      <c r="T33" s="250" t="str">
        <f xml:space="preserve"> IFERROR( INDEX($K$3:$K$44, MATCH(表格1_3345[[#This Row],[鍵盤按鍵]], $J$3:$J$44,0)), "")</f>
        <v>ㆲ</v>
      </c>
      <c r="X33" s="14">
        <f t="shared" si="8"/>
        <v>31</v>
      </c>
      <c r="Y33" s="160" t="s">
        <v>76</v>
      </c>
      <c r="Z33" s="119" t="s">
        <v>156</v>
      </c>
      <c r="AA33" s="109" t="str">
        <f xml:space="preserve"> IFERROR( INDEX(表格1_3345[字典編碼], MATCH($Y33, 表格1_3345[方音符號], 0)), "")</f>
        <v>u</v>
      </c>
      <c r="AB33" s="110" t="str">
        <f xml:space="preserve"> IFERROR( INDEX(表格1_3345[鍵盤按鍵], MATCH($Y33, 表格1_3345[方音符號], 0)), "")</f>
        <v>j</v>
      </c>
    </row>
    <row r="34" spans="5:28" ht="32.25">
      <c r="E34" s="180" cm="1">
        <f t="array" ref="E34" xml:space="preserve"> ROW() - ROW($2:$2)</f>
        <v>32</v>
      </c>
      <c r="F34" s="225" t="str">
        <f t="shared" si="2"/>
        <v>L</v>
      </c>
      <c r="G34" s="225" t="str">
        <f t="shared" si="3"/>
        <v>0</v>
      </c>
      <c r="I34" s="180">
        <v>32</v>
      </c>
      <c r="J34" s="195" t="str">
        <f t="shared" si="4"/>
        <v>0</v>
      </c>
      <c r="K34" s="195" t="str">
        <f t="shared" si="5"/>
        <v>ㄢ</v>
      </c>
      <c r="M34" s="180">
        <v>32</v>
      </c>
      <c r="N34" s="194" t="str">
        <f t="shared" si="9"/>
        <v/>
      </c>
      <c r="O34" s="194" t="str">
        <f t="shared" si="1"/>
        <v/>
      </c>
      <c r="Q34" s="180">
        <v>32</v>
      </c>
      <c r="R34" s="183" t="str">
        <f t="shared" si="6"/>
        <v>0</v>
      </c>
      <c r="S34" s="197" t="str">
        <f t="shared" si="7"/>
        <v>L</v>
      </c>
      <c r="T34" s="250" t="str">
        <f xml:space="preserve"> IFERROR( INDEX($K$3:$K$44, MATCH(表格1_3345[[#This Row],[鍵盤按鍵]], $J$3:$J$44,0)), "")</f>
        <v>ㄢ</v>
      </c>
      <c r="X34" s="40">
        <f t="shared" si="8"/>
        <v>32</v>
      </c>
      <c r="Y34" s="162" t="s">
        <v>117</v>
      </c>
      <c r="Z34" s="121" t="s">
        <v>157</v>
      </c>
      <c r="AA34" s="114" t="str">
        <f xml:space="preserve"> IFERROR( INDEX(表格1_3345[字典編碼], MATCH($Y34, 表格1_3345[方音符號], 0)), "")</f>
        <v/>
      </c>
      <c r="AB34" s="115" t="str">
        <f xml:space="preserve"> IFERROR( INDEX(表格1_3345[鍵盤按鍵], MATCH($Y34, 表格1_3345[方音符號], 0)), "")</f>
        <v/>
      </c>
    </row>
    <row r="35" spans="5:28" ht="32.25">
      <c r="E35" s="180" cm="1">
        <f t="array" ref="E35" xml:space="preserve"> ROW() - ROW($2:$2)</f>
        <v>33</v>
      </c>
      <c r="F35" s="225" t="str">
        <f t="shared" si="2"/>
        <v>D</v>
      </c>
      <c r="G35" s="225" t="str">
        <f t="shared" si="3"/>
        <v>p</v>
      </c>
      <c r="I35" s="180">
        <v>33</v>
      </c>
      <c r="J35" s="195" t="str">
        <f t="shared" si="4"/>
        <v>p</v>
      </c>
      <c r="K35" s="195" t="str">
        <f t="shared" si="5"/>
        <v>ㄣ</v>
      </c>
      <c r="M35" s="180">
        <v>33</v>
      </c>
      <c r="N35" s="194" t="str">
        <f t="shared" si="9"/>
        <v/>
      </c>
      <c r="O35" s="194" t="str">
        <f t="shared" si="1"/>
        <v/>
      </c>
      <c r="Q35" s="180">
        <v>33</v>
      </c>
      <c r="R35" s="183" t="str">
        <f t="shared" si="6"/>
        <v>p</v>
      </c>
      <c r="S35" s="197" t="str">
        <f t="shared" si="7"/>
        <v>D</v>
      </c>
      <c r="T35" s="250" t="str">
        <f xml:space="preserve"> IFERROR( INDEX($K$3:$K$44, MATCH(表格1_3345[[#This Row],[鍵盤按鍵]], $J$3:$J$44,0)), "")</f>
        <v>ㄣ</v>
      </c>
      <c r="X35" s="14">
        <f t="shared" si="8"/>
        <v>33</v>
      </c>
      <c r="Y35" s="160" t="s">
        <v>704</v>
      </c>
      <c r="Z35" s="119" t="s">
        <v>143</v>
      </c>
      <c r="AA35" s="109" t="str">
        <f xml:space="preserve"> IFERROR( INDEX(表格1_3345[字典編碼], MATCH($Y35, 表格1_3345[方音符號], 0)), "")</f>
        <v>I</v>
      </c>
      <c r="AB35" s="110" t="str">
        <f xml:space="preserve"> IFERROR( INDEX(表格1_3345[鍵盤按鍵], MATCH($Y35, 表格1_3345[方音符號], 0)), "")</f>
        <v>9</v>
      </c>
    </row>
    <row r="36" spans="5:28" ht="32.25">
      <c r="E36" s="180" cm="1">
        <f t="array" ref="E36" xml:space="preserve"> ROW() - ROW($2:$2)</f>
        <v>34</v>
      </c>
      <c r="F36" s="225" t="str">
        <f t="shared" si="2"/>
        <v>Q</v>
      </c>
      <c r="G36" s="225" t="str">
        <f t="shared" si="3"/>
        <v>;</v>
      </c>
      <c r="I36" s="180">
        <v>34</v>
      </c>
      <c r="J36" s="195" t="str">
        <f t="shared" si="4"/>
        <v>;</v>
      </c>
      <c r="K36" s="195" t="str">
        <f t="shared" si="5"/>
        <v>ㄤ</v>
      </c>
      <c r="M36" s="180">
        <v>34</v>
      </c>
      <c r="N36" s="194" t="str">
        <f t="shared" si="9"/>
        <v/>
      </c>
      <c r="O36" s="194" t="str">
        <f t="shared" si="1"/>
        <v/>
      </c>
      <c r="Q36" s="180">
        <v>34</v>
      </c>
      <c r="R36" s="183" t="str">
        <f t="shared" si="6"/>
        <v>;</v>
      </c>
      <c r="S36" s="197" t="str">
        <f t="shared" si="7"/>
        <v>Q</v>
      </c>
      <c r="T36" s="250" t="str">
        <f xml:space="preserve"> IFERROR( INDEX($K$3:$K$44, MATCH(表格1_3345[[#This Row],[鍵盤按鍵]], $J$3:$J$44,0)), "")</f>
        <v>ㄤ</v>
      </c>
      <c r="X36" s="14">
        <f t="shared" si="8"/>
        <v>34</v>
      </c>
      <c r="Y36" s="160" t="s">
        <v>111</v>
      </c>
      <c r="Z36" s="119" t="s">
        <v>144</v>
      </c>
      <c r="AA36" s="109" t="str">
        <f xml:space="preserve"> IFERROR( INDEX(表格1_3345[字典編碼], MATCH($Y36, 表格1_3345[方音符號], 0)), "")</f>
        <v/>
      </c>
      <c r="AB36" s="110" t="str">
        <f xml:space="preserve"> IFERROR( INDEX(表格1_3345[鍵盤按鍵], MATCH($Y36, 表格1_3345[方音符號], 0)), "")</f>
        <v/>
      </c>
    </row>
    <row r="37" spans="5:28" ht="32.25">
      <c r="E37" s="180" cm="1">
        <f t="array" ref="E37" xml:space="preserve"> ROW() - ROW($2:$2)</f>
        <v>35</v>
      </c>
      <c r="F37" s="225" t="str">
        <f t="shared" si="2"/>
        <v>G</v>
      </c>
      <c r="G37" s="225" t="str">
        <f t="shared" si="3"/>
        <v>/</v>
      </c>
      <c r="I37" s="180">
        <v>35</v>
      </c>
      <c r="J37" s="195" t="str">
        <f t="shared" si="4"/>
        <v>/</v>
      </c>
      <c r="K37" s="195" t="str">
        <f t="shared" si="5"/>
        <v>ㆭ</v>
      </c>
      <c r="M37" s="180">
        <v>35</v>
      </c>
      <c r="N37" s="194" t="str">
        <f t="shared" si="9"/>
        <v/>
      </c>
      <c r="O37" s="194" t="str">
        <f t="shared" si="1"/>
        <v/>
      </c>
      <c r="Q37" s="180">
        <v>35</v>
      </c>
      <c r="R37" s="183" t="str">
        <f t="shared" si="6"/>
        <v>/</v>
      </c>
      <c r="S37" s="197" t="str">
        <f t="shared" si="7"/>
        <v>G</v>
      </c>
      <c r="T37" s="250" t="str">
        <f xml:space="preserve"> IFERROR( INDEX($K$3:$K$44, MATCH(表格1_3345[[#This Row],[鍵盤按鍵]], $J$3:$J$44,0)), "")</f>
        <v>ㆭ</v>
      </c>
      <c r="X37" s="14">
        <f t="shared" si="8"/>
        <v>35</v>
      </c>
      <c r="Y37" s="160" t="s">
        <v>80</v>
      </c>
      <c r="Z37" s="119" t="s">
        <v>145</v>
      </c>
      <c r="AA37" s="109" t="str">
        <f xml:space="preserve"> IFERROR( INDEX(表格1_3345[字典編碼], MATCH($Y37, 表格1_3345[方音符號], 0)), "")</f>
        <v>U</v>
      </c>
      <c r="AB37" s="110" t="str">
        <f xml:space="preserve"> IFERROR( INDEX(表格1_3345[鍵盤按鍵], MATCH($Y37, 表格1_3345[方音符號], 0)), "")</f>
        <v>l</v>
      </c>
    </row>
    <row r="38" spans="5:28" ht="32.25">
      <c r="E38" s="180" cm="1">
        <f t="array" ref="E38" xml:space="preserve"> ROW() - ROW($2:$2)</f>
        <v>36</v>
      </c>
      <c r="F38" s="225" t="str">
        <f t="shared" si="2"/>
        <v>N</v>
      </c>
      <c r="G38" s="225" t="str">
        <f t="shared" si="3"/>
        <v>-</v>
      </c>
      <c r="I38" s="180">
        <v>36</v>
      </c>
      <c r="J38" s="195" t="str">
        <f t="shared" si="4"/>
        <v>-</v>
      </c>
      <c r="K38" s="195" t="str">
        <f t="shared" si="5"/>
        <v>ｎ</v>
      </c>
      <c r="M38" s="180">
        <v>36</v>
      </c>
      <c r="N38" s="194" t="str">
        <f t="shared" si="9"/>
        <v/>
      </c>
      <c r="O38" s="194" t="str">
        <f t="shared" si="1"/>
        <v/>
      </c>
      <c r="Q38" s="180">
        <v>36</v>
      </c>
      <c r="R38" s="183" t="str">
        <f t="shared" si="6"/>
        <v>-</v>
      </c>
      <c r="S38" s="197" t="str">
        <f t="shared" si="7"/>
        <v>N</v>
      </c>
      <c r="T38" s="250" t="str">
        <f xml:space="preserve"> IFERROR( INDEX($K$3:$K$44, MATCH(表格1_3345[[#This Row],[鍵盤按鍵]], $J$3:$J$44,0)), "")</f>
        <v>ｎ</v>
      </c>
      <c r="X38" s="14">
        <f t="shared" si="8"/>
        <v>36</v>
      </c>
      <c r="Y38" s="160" t="s">
        <v>112</v>
      </c>
      <c r="Z38" s="119" t="s">
        <v>146</v>
      </c>
      <c r="AA38" s="109" t="str">
        <f xml:space="preserve"> IFERROR( INDEX(表格1_3345[字典編碼], MATCH($Y38, 表格1_3345[方音符號], 0)), "")</f>
        <v/>
      </c>
      <c r="AB38" s="110" t="str">
        <f xml:space="preserve"> IFERROR( INDEX(表格1_3345[鍵盤按鍵], MATCH($Y38, 表格1_3345[方音符號], 0)), "")</f>
        <v/>
      </c>
    </row>
    <row r="39" spans="5:28" ht="32.25">
      <c r="E39" s="180" cm="1">
        <f t="array" ref="E39" xml:space="preserve"> ROW() - ROW($2:$2)</f>
        <v>37</v>
      </c>
      <c r="F39" s="225" t="str">
        <f t="shared" si="2"/>
        <v>1</v>
      </c>
      <c r="G39" s="225" t="str">
        <f t="shared" si="3"/>
        <v xml:space="preserve"> </v>
      </c>
      <c r="I39" s="180">
        <v>37</v>
      </c>
      <c r="J39" s="195" t="str">
        <f t="shared" si="4"/>
        <v>4</v>
      </c>
      <c r="K39" s="195" t="str">
        <f t="shared" si="5"/>
        <v>ˋ</v>
      </c>
      <c r="M39" s="180">
        <v>37</v>
      </c>
      <c r="N39" s="194" t="str">
        <f t="shared" si="9"/>
        <v/>
      </c>
      <c r="O39" s="194" t="str">
        <f t="shared" si="1"/>
        <v/>
      </c>
      <c r="Q39" s="180">
        <v>37</v>
      </c>
      <c r="R39" s="247" t="str">
        <f t="shared" si="6"/>
        <v xml:space="preserve"> </v>
      </c>
      <c r="S39" s="248" t="str">
        <f t="shared" si="7"/>
        <v>1</v>
      </c>
      <c r="T39" s="251" t="str">
        <f xml:space="preserve"> IFERROR( INDEX($K$3:$K$44, MATCH(表格1_3345[[#This Row],[鍵盤按鍵]], $J$3:$J$44,0)), "")</f>
        <v/>
      </c>
      <c r="X39" s="14">
        <f t="shared" si="8"/>
        <v>37</v>
      </c>
      <c r="Y39" s="160" t="s">
        <v>113</v>
      </c>
      <c r="Z39" s="119" t="s">
        <v>147</v>
      </c>
      <c r="AA39" s="109" t="str">
        <f xml:space="preserve"> IFERROR( INDEX(表格1_3345[字典編碼], MATCH($Y39, 表格1_3345[方音符號], 0)), "")</f>
        <v>M</v>
      </c>
      <c r="AB39" s="110" t="str">
        <f xml:space="preserve"> IFERROR( INDEX(表格1_3345[鍵盤按鍵], MATCH($Y39, 表格1_3345[方音符號], 0)), "")</f>
        <v>,</v>
      </c>
    </row>
    <row r="40" spans="5:28" ht="32.25">
      <c r="E40" s="180" cm="1">
        <f t="array" ref="E40" xml:space="preserve"> ROW() - ROW($2:$2)</f>
        <v>38</v>
      </c>
      <c r="F40" s="225" t="str">
        <f t="shared" si="2"/>
        <v>2</v>
      </c>
      <c r="G40" s="225" t="str">
        <f t="shared" si="3"/>
        <v>4</v>
      </c>
      <c r="I40" s="180">
        <v>38</v>
      </c>
      <c r="J40" s="195" t="str">
        <f t="shared" si="4"/>
        <v>3</v>
      </c>
      <c r="K40" s="195" t="str">
        <f t="shared" si="5"/>
        <v>˪</v>
      </c>
      <c r="M40" s="180">
        <v>38</v>
      </c>
      <c r="N40" s="194" t="str">
        <f t="shared" si="9"/>
        <v/>
      </c>
      <c r="O40" s="194" t="str">
        <f t="shared" si="1"/>
        <v/>
      </c>
      <c r="Q40" s="180">
        <v>38</v>
      </c>
      <c r="R40" s="183" t="str">
        <f t="shared" si="6"/>
        <v>4</v>
      </c>
      <c r="S40" s="197" t="str">
        <f t="shared" si="7"/>
        <v>2</v>
      </c>
      <c r="T40" s="250" t="str">
        <f xml:space="preserve"> IFERROR( INDEX($K$3:$K$44, MATCH(表格1_3345[[#This Row],[鍵盤按鍵]], $J$3:$J$44,0)), "")</f>
        <v>ˋ</v>
      </c>
      <c r="X40" s="14">
        <f t="shared" si="8"/>
        <v>38</v>
      </c>
      <c r="Y40" s="160" t="s">
        <v>114</v>
      </c>
      <c r="Z40" s="119" t="s">
        <v>148</v>
      </c>
      <c r="AA40" s="109" t="str">
        <f xml:space="preserve"> IFERROR( INDEX(表格1_3345[字典編碼], MATCH($Y40, 表格1_3345[方音符號], 0)), "")</f>
        <v/>
      </c>
      <c r="AB40" s="110" t="str">
        <f xml:space="preserve"> IFERROR( INDEX(表格1_3345[鍵盤按鍵], MATCH($Y40, 表格1_3345[方音符號], 0)), "")</f>
        <v/>
      </c>
    </row>
    <row r="41" spans="5:28" ht="32.25">
      <c r="E41" s="180" cm="1">
        <f t="array" ref="E41" xml:space="preserve"> ROW() - ROW($2:$2)</f>
        <v>39</v>
      </c>
      <c r="F41" s="225" t="str">
        <f t="shared" si="2"/>
        <v>3</v>
      </c>
      <c r="G41" s="225" t="str">
        <f t="shared" si="3"/>
        <v>3</v>
      </c>
      <c r="I41" s="180">
        <v>39</v>
      </c>
      <c r="J41" s="195" t="str">
        <f t="shared" si="4"/>
        <v>6</v>
      </c>
      <c r="K41" s="195" t="str">
        <f t="shared" si="5"/>
        <v>ˊ</v>
      </c>
      <c r="M41" s="180">
        <v>39</v>
      </c>
      <c r="N41" s="194" t="str">
        <f t="shared" si="9"/>
        <v/>
      </c>
      <c r="O41" s="194" t="str">
        <f t="shared" si="1"/>
        <v/>
      </c>
      <c r="Q41" s="180">
        <v>39</v>
      </c>
      <c r="R41" s="183" t="str">
        <f t="shared" si="6"/>
        <v>3</v>
      </c>
      <c r="S41" s="197" t="str">
        <f t="shared" si="7"/>
        <v>3</v>
      </c>
      <c r="T41" s="250" t="str">
        <f xml:space="preserve"> IFERROR( INDEX($K$3:$K$44, MATCH(表格1_3345[[#This Row],[鍵盤按鍵]], $J$3:$J$44,0)), "")</f>
        <v>˪</v>
      </c>
      <c r="X41" s="14">
        <f t="shared" si="8"/>
        <v>39</v>
      </c>
      <c r="Y41" s="160" t="s">
        <v>613</v>
      </c>
      <c r="Z41" s="119" t="s">
        <v>124</v>
      </c>
      <c r="AA41" s="109" t="str">
        <f xml:space="preserve"> IFERROR( INDEX(表格1_3345[字典編碼], MATCH($Y41, 表格1_3345[方音符號], 0)), "")</f>
        <v>B</v>
      </c>
      <c r="AB41" s="110" t="str">
        <f xml:space="preserve"> IFERROR( INDEX(表格1_3345[鍵盤按鍵], MATCH($Y41, 表格1_3345[方音符號], 0)), "")</f>
        <v>m</v>
      </c>
    </row>
    <row r="42" spans="5:28" ht="32.25">
      <c r="E42" s="180" cm="1">
        <f t="array" ref="E42" xml:space="preserve"> ROW() - ROW($2:$2)</f>
        <v>40</v>
      </c>
      <c r="F42" s="225" t="str">
        <f t="shared" si="2"/>
        <v>5</v>
      </c>
      <c r="G42" s="225" t="str">
        <f t="shared" si="3"/>
        <v>6</v>
      </c>
      <c r="I42" s="180">
        <v>40</v>
      </c>
      <c r="J42" s="195" t="str">
        <f t="shared" si="4"/>
        <v>5</v>
      </c>
      <c r="K42" s="195" t="str">
        <f t="shared" si="5"/>
        <v>˫</v>
      </c>
      <c r="M42" s="180">
        <v>40</v>
      </c>
      <c r="N42" s="194" t="str">
        <f t="shared" si="9"/>
        <v/>
      </c>
      <c r="O42" s="194" t="str">
        <f t="shared" si="1"/>
        <v/>
      </c>
      <c r="Q42" s="180">
        <v>40</v>
      </c>
      <c r="R42" s="183" t="str">
        <f t="shared" si="6"/>
        <v>6</v>
      </c>
      <c r="S42" s="197" t="str">
        <f t="shared" si="7"/>
        <v>5</v>
      </c>
      <c r="T42" s="250" t="str">
        <f xml:space="preserve"> IFERROR( INDEX($K$3:$K$44, MATCH(表格1_3345[[#This Row],[鍵盤按鍵]], $J$3:$J$44,0)), "")</f>
        <v>ˊ</v>
      </c>
      <c r="X42" s="14">
        <f t="shared" si="8"/>
        <v>40</v>
      </c>
      <c r="Y42" s="160" t="s">
        <v>23</v>
      </c>
      <c r="Z42" s="119" t="s">
        <v>149</v>
      </c>
      <c r="AA42" s="109" t="str">
        <f xml:space="preserve"> IFERROR( INDEX(表格1_3345[字典編碼], MATCH($Y42, 表格1_3345[方音符號], 0)), "")</f>
        <v>L</v>
      </c>
      <c r="AB42" s="110" t="str">
        <f xml:space="preserve"> IFERROR( INDEX(表格1_3345[鍵盤按鍵], MATCH($Y42, 表格1_3345[方音符號], 0)), "")</f>
        <v>0</v>
      </c>
    </row>
    <row r="43" spans="5:28" ht="32.25">
      <c r="E43" s="180" cm="1">
        <f t="array" ref="E43" xml:space="preserve"> ROW() - ROW($2:$2)</f>
        <v>41</v>
      </c>
      <c r="F43" s="225" t="str">
        <f t="shared" si="2"/>
        <v>7</v>
      </c>
      <c r="G43" s="225" t="str">
        <f t="shared" si="3"/>
        <v>5</v>
      </c>
      <c r="I43" s="180">
        <v>41</v>
      </c>
      <c r="J43" s="195" t="str">
        <f t="shared" si="4"/>
        <v>7</v>
      </c>
      <c r="K43" s="195" t="str">
        <f t="shared" si="5"/>
        <v>．</v>
      </c>
      <c r="M43" s="180">
        <v>41</v>
      </c>
      <c r="N43" s="194" t="str">
        <f t="shared" si="9"/>
        <v/>
      </c>
      <c r="O43" s="194" t="str">
        <f t="shared" si="1"/>
        <v/>
      </c>
      <c r="Q43" s="180">
        <v>41</v>
      </c>
      <c r="R43" s="183" t="str">
        <f t="shared" si="6"/>
        <v>5</v>
      </c>
      <c r="S43" s="197" t="str">
        <f t="shared" si="7"/>
        <v>7</v>
      </c>
      <c r="T43" s="250" t="str">
        <f xml:space="preserve"> IFERROR( INDEX($K$3:$K$44, MATCH(表格1_3345[[#This Row],[鍵盤按鍵]], $J$3:$J$44,0)), "")</f>
        <v>˫</v>
      </c>
      <c r="X43" s="14">
        <f t="shared" si="8"/>
        <v>41</v>
      </c>
      <c r="Y43" s="160" t="s">
        <v>54</v>
      </c>
      <c r="Z43" s="119" t="s">
        <v>150</v>
      </c>
      <c r="AA43" s="109" t="str">
        <f xml:space="preserve"> IFERROR( INDEX(表格1_3345[字典編碼], MATCH($Y43, 表格1_3345[方音符號], 0)), "")</f>
        <v>D</v>
      </c>
      <c r="AB43" s="110" t="str">
        <f xml:space="preserve"> IFERROR( INDEX(表格1_3345[鍵盤按鍵], MATCH($Y43, 表格1_3345[方音符號], 0)), "")</f>
        <v>p</v>
      </c>
    </row>
    <row r="44" spans="5:28" ht="32.25">
      <c r="E44" s="180" cm="1">
        <f t="array" ref="E44" xml:space="preserve"> ROW() - ROW($2:$2)</f>
        <v>42</v>
      </c>
      <c r="F44" s="225" t="str">
        <f t="shared" si="2"/>
        <v>0</v>
      </c>
      <c r="G44" s="225" t="str">
        <f t="shared" si="3"/>
        <v>7</v>
      </c>
      <c r="I44" s="180">
        <v>42</v>
      </c>
      <c r="J44" s="195" t="str">
        <f t="shared" si="4"/>
        <v/>
      </c>
      <c r="K44" s="195" t="str">
        <f t="shared" si="5"/>
        <v/>
      </c>
      <c r="M44" s="180">
        <v>42</v>
      </c>
      <c r="N44" s="194" t="str">
        <f t="shared" si="9"/>
        <v/>
      </c>
      <c r="O44" s="194" t="str">
        <f t="shared" si="1"/>
        <v/>
      </c>
      <c r="Q44" s="180">
        <v>42</v>
      </c>
      <c r="R44" s="183" t="str">
        <f t="shared" si="6"/>
        <v>7</v>
      </c>
      <c r="S44" s="197" t="str">
        <f t="shared" si="7"/>
        <v>0</v>
      </c>
      <c r="T44" s="250" t="str">
        <f xml:space="preserve"> IFERROR( INDEX($K$3:$K$44, MATCH(表格1_3345[[#This Row],[鍵盤按鍵]], $J$3:$J$44,0)), "")</f>
        <v>．</v>
      </c>
      <c r="X44" s="14">
        <f t="shared" si="8"/>
        <v>42</v>
      </c>
      <c r="Y44" s="160" t="s">
        <v>81</v>
      </c>
      <c r="Z44" s="119" t="s">
        <v>151</v>
      </c>
      <c r="AA44" s="109" t="str">
        <f xml:space="preserve"> IFERROR( INDEX(表格1_3345[字典編碼], MATCH($Y44, 表格1_3345[方音符號], 0)), "")</f>
        <v>Q</v>
      </c>
      <c r="AB44" s="110" t="str">
        <f xml:space="preserve"> IFERROR( INDEX(表格1_3345[鍵盤按鍵], MATCH($Y44, 表格1_3345[方音符號], 0)), "")</f>
        <v>;</v>
      </c>
    </row>
    <row r="45" spans="5:28" ht="32.25">
      <c r="O45" s="180"/>
      <c r="X45" s="14">
        <f t="shared" si="8"/>
        <v>43</v>
      </c>
      <c r="Y45" s="160" t="s">
        <v>101</v>
      </c>
      <c r="Z45" s="119" t="s">
        <v>152</v>
      </c>
      <c r="AA45" s="109" t="str">
        <f xml:space="preserve"> IFERROR( INDEX(表格1_3345[字典編碼], MATCH($Y45, 表格1_3345[方音符號], 0)), "")</f>
        <v>Y</v>
      </c>
      <c r="AB45" s="110" t="str">
        <f xml:space="preserve"> IFERROR( INDEX(表格1_3345[鍵盤按鍵], MATCH($Y45, 表格1_3345[方音符號], 0)), "")</f>
        <v>.</v>
      </c>
    </row>
    <row r="46" spans="5:28" ht="32.25">
      <c r="N46" s="256"/>
      <c r="X46" s="14">
        <f t="shared" si="8"/>
        <v>44</v>
      </c>
      <c r="Y46" s="160" t="s">
        <v>115</v>
      </c>
      <c r="Z46" s="123" t="s">
        <v>153</v>
      </c>
      <c r="AA46" s="109" t="str">
        <f xml:space="preserve"> IFERROR( INDEX(表格1_3345[字典編碼], MATCH($Y46, 表格1_3345[方音符號], 0)), "")</f>
        <v/>
      </c>
      <c r="AB46" s="110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60" t="s">
        <v>102</v>
      </c>
      <c r="Z47" s="119"/>
      <c r="AA47" s="109" t="str">
        <f xml:space="preserve"> IFERROR( INDEX(表格1_3345[字典編碼], MATCH($Y47, 表格1_3345[方音符號], 0)), "")</f>
        <v>G</v>
      </c>
      <c r="AB47" s="110" t="str">
        <f xml:space="preserve"> IFERROR( INDEX(表格1_3345[鍵盤按鍵], MATCH($Y47, 表格1_3345[方音符號], 0)), "")</f>
        <v>/</v>
      </c>
    </row>
    <row r="48" spans="5:28" ht="32.25">
      <c r="R48" s="246"/>
      <c r="X48" s="39">
        <f t="shared" si="8"/>
        <v>46</v>
      </c>
      <c r="Y48" s="161" t="s">
        <v>118</v>
      </c>
      <c r="Z48" s="120">
        <v>1</v>
      </c>
      <c r="AA48" s="112" t="str">
        <f xml:space="preserve"> IFERROR( INDEX(表格1_3345[字典編碼], MATCH($Y48, 表格1_3345[方音符號], 0)), "")</f>
        <v/>
      </c>
      <c r="AB48" s="113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60" t="s">
        <v>14</v>
      </c>
      <c r="Z49" s="119">
        <v>2</v>
      </c>
      <c r="AA49" s="109" t="str">
        <f xml:space="preserve"> IFERROR( INDEX(表格1_3345[字典編碼], MATCH($Y49, 表格1_3345[方音符號], 0)), "")</f>
        <v>2</v>
      </c>
      <c r="AB49" s="110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60" t="s">
        <v>12</v>
      </c>
      <c r="Z50" s="119">
        <v>3</v>
      </c>
      <c r="AA50" s="109" t="str">
        <f xml:space="preserve"> IFERROR( INDEX(表格1_3345[字典編碼], MATCH($Y50, 表格1_3345[方音符號], 0)), "")</f>
        <v>3</v>
      </c>
      <c r="AB50" s="110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60" t="s">
        <v>119</v>
      </c>
      <c r="Z51" s="119" t="s">
        <v>158</v>
      </c>
      <c r="AA51" s="109" t="str">
        <f xml:space="preserve"> IFERROR( INDEX(表格1_3345[字典編碼], MATCH($Y51, 表格1_3345[方音符號], 0)), "")</f>
        <v/>
      </c>
      <c r="AB51" s="110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60" t="s">
        <v>120</v>
      </c>
      <c r="Z52" s="119" t="s">
        <v>159</v>
      </c>
      <c r="AA52" s="109" t="str">
        <f xml:space="preserve"> IFERROR( INDEX(表格1_3345[字典編碼], MATCH($Y52, 表格1_3345[方音符號], 0)), "")</f>
        <v/>
      </c>
      <c r="AB52" s="110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60" t="s">
        <v>709</v>
      </c>
      <c r="Z53" s="119" t="s">
        <v>160</v>
      </c>
      <c r="AA53" s="109" t="str">
        <f xml:space="preserve"> IFERROR( INDEX(表格1_3345[字典編碼], MATCH($Y53, 表格1_3345[方音符號], 0)), "")</f>
        <v/>
      </c>
      <c r="AB53" s="110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60" t="s">
        <v>122</v>
      </c>
      <c r="Z54" s="119" t="s">
        <v>161</v>
      </c>
      <c r="AA54" s="109" t="str">
        <f xml:space="preserve"> IFERROR( INDEX(表格1_3345[字典編碼], MATCH($Y54, 表格1_3345[方音符號], 0)), "")</f>
        <v/>
      </c>
      <c r="AB54" s="110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60" t="s">
        <v>18</v>
      </c>
      <c r="Z55" s="119">
        <v>5</v>
      </c>
      <c r="AA55" s="109" t="str">
        <f xml:space="preserve"> IFERROR( INDEX(表格1_3345[字典編碼], MATCH($Y55, 表格1_3345[方音符號], 0)), "")</f>
        <v>5</v>
      </c>
      <c r="AB55" s="110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60" t="s">
        <v>16</v>
      </c>
      <c r="Z56" s="119">
        <v>7</v>
      </c>
      <c r="AA56" s="109" t="str">
        <f xml:space="preserve"> IFERROR( INDEX(表格1_3345[字典編碼], MATCH($Y56, 表格1_3345[方音符號], 0)), "")</f>
        <v>7</v>
      </c>
      <c r="AB56" s="110" t="str">
        <f xml:space="preserve"> IFERROR( INDEX(表格1_3345[鍵盤按鍵], MATCH($Y56, 表格1_3345[方音符號], 0)), "")</f>
        <v>5</v>
      </c>
    </row>
    <row r="57" spans="24:28" ht="32.25">
      <c r="X57" s="40">
        <f t="shared" si="8"/>
        <v>55</v>
      </c>
      <c r="Y57" s="162" t="s">
        <v>123</v>
      </c>
      <c r="Z57" s="121">
        <v>8</v>
      </c>
      <c r="AA57" s="114" t="str">
        <f xml:space="preserve"> IFERROR( INDEX(表格1_3345[字典編碼], MATCH($Y57, 表格1_3345[方音符號], 0)), "")</f>
        <v/>
      </c>
      <c r="AB57" s="115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MATCH(表格1_3346[[#This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INDEX(表格1_3346[字典編碼], MATCH($X3, 表格1_3346[方音符號], 0)), "")</f>
        <v>p</v>
      </c>
      <c r="AA3" s="112" t="str">
        <f t="shared" ref="AA3:AA20" si="0">Z3</f>
        <v>p</v>
      </c>
      <c r="AB3" s="274" t="str">
        <f xml:space="preserve"> IFERROR( INDEX(表格1_3346[鍵盤按鍵], MATCH($X3, 表格1_3346[方音符號],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MATCH(表格1_3346[[#This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INDEX(表格1_3346[字典編碼], MATCH($X4, 表格1_3346[方音符號], 0)), "")</f>
        <v>P</v>
      </c>
      <c r="AA4" s="109" t="str">
        <f t="shared" si="0"/>
        <v>P</v>
      </c>
      <c r="AB4" s="276" t="str">
        <f xml:space="preserve"> IFERROR( INDEX(表格1_3346[鍵盤按鍵], MATCH($X4, 表格1_3346[方音符號],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MATCH(表格1_3346[[#This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INDEX(表格1_3346[字典編碼], MATCH($X5, 表格1_3346[方音符號], 0)), "")</f>
        <v>b</v>
      </c>
      <c r="AA5" s="114" t="str">
        <f t="shared" si="0"/>
        <v>b</v>
      </c>
      <c r="AB5" s="278" t="str">
        <f xml:space="preserve"> IFERROR( INDEX(表格1_3346[鍵盤按鍵], MATCH($X5, 表格1_3346[方音符號],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MATCH(表格1_3346[[#This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INDEX(表格1_3346[字典編碼], MATCH($X6, 表格1_3346[方音符號], 0)), "")</f>
        <v>t</v>
      </c>
      <c r="AA6" s="112" t="str">
        <f t="shared" si="0"/>
        <v>t</v>
      </c>
      <c r="AB6" s="274" t="str">
        <f xml:space="preserve"> IFERROR( INDEX(表格1_3346[鍵盤按鍵], MATCH($X6, 表格1_3346[方音符號],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MATCH(表格1_3346[[#This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INDEX(表格1_3346[字典編碼], MATCH($X7, 表格1_3346[方音符號], 0)), "")</f>
        <v>T</v>
      </c>
      <c r="AA7" s="109" t="str">
        <f t="shared" si="0"/>
        <v>T</v>
      </c>
      <c r="AB7" s="276" t="str">
        <f xml:space="preserve"> IFERROR( INDEX(表格1_3346[鍵盤按鍵], MATCH($X7, 表格1_3346[方音符號],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MATCH(表格1_3346[[#This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INDEX(表格1_3346[字典編碼], MATCH($X8, 表格1_3346[方音符號], 0)), "")</f>
        <v>n</v>
      </c>
      <c r="AA8" s="114" t="str">
        <f t="shared" si="0"/>
        <v>n</v>
      </c>
      <c r="AB8" s="278" t="str">
        <f xml:space="preserve"> IFERROR( INDEX(表格1_3346[鍵盤按鍵], MATCH($X8, 表格1_3346[方音符號],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MATCH(表格1_3346[[#This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INDEX(表格1_3346[字典編碼], MATCH($X9, 表格1_3346[方音符號], 0)), "")</f>
        <v>k</v>
      </c>
      <c r="AA9" s="112" t="str">
        <f t="shared" si="0"/>
        <v>k</v>
      </c>
      <c r="AB9" s="274" t="str">
        <f xml:space="preserve"> IFERROR( INDEX(表格1_3346[鍵盤按鍵], MATCH($X9, 表格1_3346[方音符號],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0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MATCH(表格1_3346[[#This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INDEX(表格1_3346[字典編碼], MATCH($X10, 表格1_3346[方音符號], 0)), "")</f>
        <v>K</v>
      </c>
      <c r="AA10" s="109" t="str">
        <f t="shared" si="0"/>
        <v>K</v>
      </c>
      <c r="AB10" s="276" t="str">
        <f xml:space="preserve"> IFERROR( INDEX(表格1_3346[鍵盤按鍵], MATCH($X10, 表格1_3346[方音符號],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>
        <f ca="1" xml:space="preserve"> MID(AF10, AU9, 1)</f>
        <v>0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MATCH(表格1_3346[[#This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INDEX(表格1_3346[字典編碼], MATCH($X11, 表格1_3346[方音符號], 0)), "")</f>
        <v>g</v>
      </c>
      <c r="AA11" s="114" t="str">
        <f t="shared" si="0"/>
        <v>g</v>
      </c>
      <c r="AB11" s="278" t="str">
        <f xml:space="preserve"> IFERROR( INDEX(表格1_3346[鍵盤按鍵], MATCH($X11, 表格1_3346[方音符號],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MATCH(表格1_3346[[#This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INDEX(表格1_3346[字典編碼], MATCH($X12, 表格1_3346[方音符號], 0)), "")</f>
        <v>c</v>
      </c>
      <c r="AA12" s="112" t="str">
        <f t="shared" si="0"/>
        <v>c</v>
      </c>
      <c r="AB12" s="274" t="str">
        <f xml:space="preserve"> IFERROR( INDEX(表格1_3346[鍵盤按鍵], MATCH($X12, 表格1_3346[方音符號],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MATCH(表格1_3346[[#This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INDEX(表格1_3346[字典編碼], MATCH($X13, 表格1_3346[方音符號], 0)), "")</f>
        <v>C</v>
      </c>
      <c r="AA13" s="109" t="str">
        <f t="shared" si="0"/>
        <v>C</v>
      </c>
      <c r="AB13" s="276" t="str">
        <f xml:space="preserve"> IFERROR( INDEX(表格1_3346[鍵盤按鍵], MATCH($X13, 表格1_3346[方音符號],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MATCH(表格1_3346[[#This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INDEX(表格1_3346[字典編碼], MATCH($X14, 表格1_3346[方音符號], 0)), "")</f>
        <v>z</v>
      </c>
      <c r="AA14" s="109" t="str">
        <f t="shared" si="0"/>
        <v>z</v>
      </c>
      <c r="AB14" s="276" t="str">
        <f xml:space="preserve"> IFERROR( INDEX(表格1_3346[鍵盤按鍵], MATCH($X14, 表格1_3346[方音符號],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MATCH(表格1_3346[[#This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INDEX(表格1_3346[字典編碼], MATCH($X15, 表格1_3346[方音符號], 0)), "")</f>
        <v>s</v>
      </c>
      <c r="AA15" s="114" t="str">
        <f t="shared" si="0"/>
        <v>s</v>
      </c>
      <c r="AB15" s="278" t="str">
        <f xml:space="preserve"> IFERROR( INDEX(表格1_3346[鍵盤按鍵], MATCH($X15, 表格1_3346[方音符號],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MATCH(表格1_3346[[#This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INDEX(表格1_3346[字典編碼], MATCH($X16, 表格1_3346[方音符號], 0)), "")</f>
        <v>h</v>
      </c>
      <c r="AA16" s="116" t="str">
        <f t="shared" si="0"/>
        <v>h</v>
      </c>
      <c r="AB16" s="272" t="str">
        <f xml:space="preserve"> IFERROR( INDEX(表格1_3346[鍵盤按鍵], MATCH($X16, 表格1_3346[方音符號],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MATCH(表格1_3346[[#This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INDEX(表格1_3346[字典編碼], MATCH($X17, 表格1_3346[方音符號], 0)), "")</f>
        <v>i</v>
      </c>
      <c r="AA17" s="112" t="str">
        <f t="shared" si="0"/>
        <v>i</v>
      </c>
      <c r="AB17" s="274" t="str">
        <f xml:space="preserve"> IFERROR( INDEX(表格1_3346[鍵盤按鍵], MATCH($X17, 表格1_3346[方音符號],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MATCH(表格1_3346[[#This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INDEX(表格1_3346[字典編碼], MATCH($X18, 表格1_3346[方音符號], 0)), "")</f>
        <v>u</v>
      </c>
      <c r="AA18" s="114" t="str">
        <f t="shared" si="0"/>
        <v>u</v>
      </c>
      <c r="AB18" s="278" t="str">
        <f xml:space="preserve"> IFERROR( INDEX(表格1_3346[鍵盤按鍵], MATCH($X18, 表格1_3346[方音符號],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MATCH(表格1_3346[[#This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INDEX(表格1_3346[字典編碼], MATCH($X19, 表格1_3346[方音符號], 0)), "")</f>
        <v>a</v>
      </c>
      <c r="AA19" s="112" t="str">
        <f t="shared" si="0"/>
        <v>a</v>
      </c>
      <c r="AB19" s="274" t="str">
        <f xml:space="preserve"> IFERROR( INDEX(表格1_3346[鍵盤按鍵], MATCH($X19, 表格1_3346[方音符號],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MATCH(表格1_3346[[#This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INDEX(表格1_3346[字典編碼], MATCH($X20, 表格1_3346[方音符號], 0)), "")</f>
        <v>e</v>
      </c>
      <c r="AA20" s="109" t="str">
        <f t="shared" si="0"/>
        <v>e</v>
      </c>
      <c r="AB20" s="276" t="str">
        <f xml:space="preserve"> IFERROR( INDEX(表格1_3346[鍵盤按鍵], MATCH($X20, 表格1_3346[方音符號],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MATCH(表格1_3346[[#This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INDEX(表格1_3346[字典編碼], MATCH($X21, 表格1_3346[方音符號], 0)), "")</f>
        <v>ø</v>
      </c>
      <c r="AA21" s="284" t="s">
        <v>139</v>
      </c>
      <c r="AB21" s="276" t="str">
        <f xml:space="preserve"> IFERROR( INDEX(表格1_3346[鍵盤按鍵], MATCH($X21, 表格1_3346[方音符號],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MATCH(表格1_3346[[#This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INDEX(表格1_3346[字典編碼], MATCH($X22, 表格1_3346[方音符號], 0)), "")</f>
        <v>o</v>
      </c>
      <c r="AA22" s="285" t="s">
        <v>304</v>
      </c>
      <c r="AB22" s="278" t="str">
        <f xml:space="preserve"> IFERROR( INDEX(表格1_3346[鍵盤按鍵], MATCH($X22, 表格1_3346[方音符號],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MATCH(表格1_3346[[#This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INDEX(表格1_3346[字典編碼], MATCH($X23, 表格1_3346[方音符號], 0)), "")</f>
        <v>I</v>
      </c>
      <c r="AA23" s="112" t="str">
        <f t="shared" ref="AA23:AA27" si="9">Z23</f>
        <v>I</v>
      </c>
      <c r="AB23" s="274" t="str">
        <f xml:space="preserve"> IFERROR( INDEX(表格1_3346[鍵盤按鍵], MATCH($X23, 表格1_3346[方音符號],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MATCH(表格1_3346[[#This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INDEX(表格1_3346[字典編碼], MATCH($X24, 表格1_3346[方音符號], 0)), "")</f>
        <v>U</v>
      </c>
      <c r="AA24" s="109" t="str">
        <f t="shared" si="9"/>
        <v>U</v>
      </c>
      <c r="AB24" s="276" t="str">
        <f xml:space="preserve"> IFERROR( INDEX(表格1_3346[鍵盤按鍵], MATCH($X24, 表格1_3346[方音符號],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MATCH(表格1_3346[[#This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INDEX(表格1_3346[字典編碼], MATCH($X25, 表格1_3346[方音符號], 0)), "")</f>
        <v>G</v>
      </c>
      <c r="AA25" s="112" t="str">
        <f t="shared" si="9"/>
        <v>G</v>
      </c>
      <c r="AB25" s="274" t="str">
        <f xml:space="preserve"> IFERROR( INDEX(表格1_3346[鍵盤按鍵], MATCH($X25, 表格1_3346[方音符號],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MATCH(表格1_3346[[#This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INDEX(表格1_3346[字典編碼], MATCH($X26, 表格1_3346[方音符號], 0)), "")</f>
        <v>D</v>
      </c>
      <c r="AA26" s="109" t="str">
        <f t="shared" si="9"/>
        <v>D</v>
      </c>
      <c r="AB26" s="276" t="str">
        <f xml:space="preserve"> IFERROR( INDEX(表格1_3346[鍵盤按鍵], MATCH($X26, 表格1_3346[方音符號],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MATCH(表格1_3346[[#This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INDEX(表格1_3346[字典編碼], MATCH($X27, 表格1_3346[方音符號], 0)), "")</f>
        <v>B</v>
      </c>
      <c r="AA27" s="114" t="str">
        <f t="shared" si="9"/>
        <v>B</v>
      </c>
      <c r="AB27" s="278" t="str">
        <f xml:space="preserve"> IFERROR( INDEX(表格1_3346[鍵盤按鍵], MATCH($X27, 表格1_3346[方音符號],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MATCH(表格1_3346[[#This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10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1" xml:space="preserve"> IFERROR( MID($A$23, $E29, 1), "")</f>
        <v/>
      </c>
      <c r="O29" s="194" t="str">
        <f t="shared" ref="O29:O44" si="12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MATCH(表格1_3346[[#This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INDEX(表格1_3346[字典編碼], MATCH($X29, 表格1_3346[方音符號], 0)), "")</f>
        <v>m</v>
      </c>
      <c r="AA29" s="109" t="str">
        <f t="shared" si="10"/>
        <v>m</v>
      </c>
      <c r="AB29" s="110" t="str">
        <f xml:space="preserve"> IFERROR( INDEX(表格1_3346[鍵盤按鍵], MATCH($X29, 表格1_3346[方音符號],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1"/>
        <v/>
      </c>
      <c r="O30" s="194" t="str">
        <f t="shared" si="12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MATCH(表格1_3346[[#This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INDEX(表格1_3346[字典編碼], MATCH($X30, 表格1_3346[方音符號], 0)), "")</f>
        <v>d</v>
      </c>
      <c r="AA30" s="114" t="str">
        <f t="shared" si="10"/>
        <v>d</v>
      </c>
      <c r="AB30" s="115" t="str">
        <f xml:space="preserve"> IFERROR( INDEX(表格1_3346[鍵盤按鍵], MATCH($X30, 表格1_3346[方音符號],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1"/>
        <v/>
      </c>
      <c r="O31" s="194" t="str">
        <f t="shared" si="12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MATCH(表格1_3346[[#This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INDEX(表格1_3346[字典編碼], MATCH($X31, 表格1_3346[方音符號], 0)), "")</f>
        <v>q</v>
      </c>
      <c r="AA31" s="109" t="str">
        <f t="shared" si="10"/>
        <v>q</v>
      </c>
      <c r="AB31" s="110" t="str">
        <f xml:space="preserve"> IFERROR( INDEX(表格1_3346[鍵盤按鍵], MATCH($X31, 表格1_3346[方音符號],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1"/>
        <v/>
      </c>
      <c r="O32" s="194" t="str">
        <f t="shared" si="12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MATCH(表格1_3346[[#This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INDEX(表格1_3346[字典編碼], MATCH($X32, 表格1_3346[方音符號], 0)), "")</f>
        <v>j</v>
      </c>
      <c r="AA32" s="112" t="str">
        <f t="shared" si="10"/>
        <v>j</v>
      </c>
      <c r="AB32" s="274" t="str">
        <f xml:space="preserve"> IFERROR( INDEX(表格1_3346[鍵盤按鍵], MATCH($X32, 表格1_3346[方音符號],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1"/>
        <v/>
      </c>
      <c r="O33" s="194" t="str">
        <f t="shared" si="12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MATCH(表格1_3346[[#This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INDEX(表格1_3346[字典編碼], MATCH($X33, 表格1_3346[方音符號], 0)), "")</f>
        <v>J</v>
      </c>
      <c r="AA33" s="109" t="str">
        <f t="shared" si="10"/>
        <v>J</v>
      </c>
      <c r="AB33" s="276" t="str">
        <f xml:space="preserve"> IFERROR( INDEX(表格1_3346[鍵盤按鍵], MATCH($X33, 表格1_3346[方音符號],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1"/>
        <v/>
      </c>
      <c r="O34" s="194" t="str">
        <f t="shared" si="12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MATCH(表格1_3346[[#This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INDEX(表格1_3346[字典編碼], MATCH($X34, 表格1_3346[方音符號], 0)), "")</f>
        <v>S</v>
      </c>
      <c r="AA34" s="114" t="str">
        <f t="shared" si="10"/>
        <v>S</v>
      </c>
      <c r="AB34" s="278" t="str">
        <f xml:space="preserve"> IFERROR( INDEX(表格1_3346[鍵盤按鍵], MATCH($X34, 表格1_3346[方音符號],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1"/>
        <v/>
      </c>
      <c r="O35" s="194" t="str">
        <f t="shared" si="12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MATCH(表格1_3346[[#This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INDEX(表格1_3346[字典編碼], MATCH($X35, 表格1_3346[方音符號], 0)), "")</f>
        <v>Q</v>
      </c>
      <c r="AA35" s="109" t="str">
        <f t="shared" si="10"/>
        <v>Q</v>
      </c>
      <c r="AB35" s="276" t="str">
        <f xml:space="preserve"> IFERROR( INDEX(表格1_3346[鍵盤按鍵], MATCH($X35, 表格1_3346[方音符號],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1"/>
        <v/>
      </c>
      <c r="O36" s="194" t="str">
        <f t="shared" si="12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MATCH(表格1_3346[[#This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INDEX(表格1_3346[字典編碼], MATCH($X36, 表格1_3346[方音符號], 0)), "")</f>
        <v>L</v>
      </c>
      <c r="AA36" s="109" t="str">
        <f t="shared" si="10"/>
        <v>L</v>
      </c>
      <c r="AB36" s="276" t="str">
        <f xml:space="preserve"> IFERROR( INDEX(表格1_3346[鍵盤按鍵], MATCH($X36, 表格1_3346[方音符號],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1"/>
        <v/>
      </c>
      <c r="O37" s="194" t="str">
        <f t="shared" si="12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MATCH(表格1_3346[[#This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INDEX(表格1_3346[字典編碼], MATCH($X37, 表格1_3346[方音符號], 0)), "")</f>
        <v>M</v>
      </c>
      <c r="AA37" s="109" t="str">
        <f t="shared" si="10"/>
        <v>M</v>
      </c>
      <c r="AB37" s="276" t="str">
        <f xml:space="preserve"> IFERROR( INDEX(表格1_3346[鍵盤按鍵], MATCH($X37, 表格1_3346[方音符號],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1"/>
        <v/>
      </c>
      <c r="O38" s="194" t="str">
        <f t="shared" si="12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MATCH(表格1_3346[[#This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INDEX(表格1_3346[字典編碼], MATCH($X38, 表格1_3346[方音符號], 0)), "")</f>
        <v>Y</v>
      </c>
      <c r="AA38" s="114" t="str">
        <f t="shared" si="10"/>
        <v>Y</v>
      </c>
      <c r="AB38" s="278" t="str">
        <f xml:space="preserve"> IFERROR( INDEX(表格1_3346[鍵盤按鍵], MATCH($X38, 表格1_3346[方音符號],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1"/>
        <v/>
      </c>
      <c r="O39" s="194" t="str">
        <f t="shared" si="12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MATCH(表格1_3346[[#This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10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1"/>
        <v/>
      </c>
      <c r="O40" s="194" t="str">
        <f t="shared" si="12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MATCH(表格1_3346[[#This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INDEX(表格1_3346[字典編碼], MATCH($X40, 表格1_3346[方音符號], 0)), "")</f>
        <v>2</v>
      </c>
      <c r="AA40" s="112" t="str">
        <f t="shared" ref="AA40:AA44" si="13">Z40</f>
        <v>2</v>
      </c>
      <c r="AB40" s="274" t="str">
        <f xml:space="preserve"> IFERROR( INDEX(表格1_3346[鍵盤按鍵], MATCH($X40, 表格1_3346[方音符號],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1"/>
        <v/>
      </c>
      <c r="O41" s="194" t="str">
        <f t="shared" si="12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MATCH(表格1_3346[[#This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INDEX(表格1_3346[字典編碼], MATCH($X41, 表格1_3346[方音符號], 0)), "")</f>
        <v>3</v>
      </c>
      <c r="AA41" s="109" t="str">
        <f t="shared" si="13"/>
        <v>3</v>
      </c>
      <c r="AB41" s="276" t="str">
        <f xml:space="preserve"> IFERROR( INDEX(表格1_3346[鍵盤按鍵], MATCH($X41, 表格1_3346[方音符號],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1"/>
        <v/>
      </c>
      <c r="O42" s="194" t="str">
        <f t="shared" si="12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MATCH(表格1_3346[[#This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INDEX(表格1_3346[字典編碼], MATCH($X42, 表格1_3346[方音符號], 0)), "")</f>
        <v>5</v>
      </c>
      <c r="AA42" s="109" t="str">
        <f t="shared" si="13"/>
        <v>5</v>
      </c>
      <c r="AB42" s="276" t="str">
        <f xml:space="preserve"> IFERROR( INDEX(表格1_3346[鍵盤按鍵], MATCH($X42, 表格1_3346[方音符號],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1"/>
        <v/>
      </c>
      <c r="O43" s="194" t="str">
        <f t="shared" si="12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MATCH(表格1_3346[[#This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INDEX(表格1_3346[字典編碼], MATCH($X43, 表格1_3346[方音符號], 0)), "")</f>
        <v>7</v>
      </c>
      <c r="AA43" s="109" t="str">
        <f t="shared" si="13"/>
        <v>7</v>
      </c>
      <c r="AB43" s="276" t="str">
        <f xml:space="preserve"> IFERROR( INDEX(表格1_3346[鍵盤按鍵], MATCH($X43, 表格1_3346[方音符號],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1"/>
        <v/>
      </c>
      <c r="O44" s="194" t="str">
        <f t="shared" si="12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MATCH(表格1_3346[[#This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13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INDEX(表格1_3346[字典編碼], MATCH($X45, 表格1_3346[方音符號], 0)), "")</f>
        <v/>
      </c>
      <c r="AA45" s="116"/>
      <c r="AB45" s="272" t="str">
        <f xml:space="preserve"> IFERROR( INDEX(表格1_3346[鍵盤按鍵], MATCH($X45, 表格1_3346[方音符號],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INDEX(表格1_3346[字典編碼], MATCH($X46, 表格1_3346[方音符號], 0)), "")</f>
        <v/>
      </c>
      <c r="AA46" s="112"/>
      <c r="AB46" s="274" t="str">
        <f xml:space="preserve"> IFERROR( INDEX(表格1_3346[鍵盤按鍵], MATCH($X46, 表格1_3346[方音符號],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INDEX(表格1_3346[字典編碼], MATCH($X47, 表格1_3346[方音符號], 0)), "")</f>
        <v/>
      </c>
      <c r="AA47" s="109"/>
      <c r="AB47" s="276" t="str">
        <f xml:space="preserve"> IFERROR( INDEX(表格1_3346[鍵盤按鍵], MATCH($X47, 表格1_3346[方音符號],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INDEX(表格1_3346[字典編碼], MATCH($X48, 表格1_3346[方音符號], 0)), "")</f>
        <v/>
      </c>
      <c r="AA48" s="109"/>
      <c r="AB48" s="276" t="str">
        <f xml:space="preserve"> IFERROR( INDEX(表格1_3346[鍵盤按鍵], MATCH($X48, 表格1_3346[方音符號],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INDEX(表格1_3346[字典編碼], MATCH($X49, 表格1_3346[方音符號], 0)), "")</f>
        <v/>
      </c>
      <c r="AA49" s="109"/>
      <c r="AB49" s="276" t="str">
        <f xml:space="preserve"> IFERROR( INDEX(表格1_3346[鍵盤按鍵], MATCH($X49, 表格1_3346[方音符號],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INDEX(表格1_3346[字典編碼], MATCH($X50, 表格1_3346[方音符號], 0)), "")</f>
        <v/>
      </c>
      <c r="AA50" s="109"/>
      <c r="AB50" s="276" t="str">
        <f xml:space="preserve"> IFERROR( INDEX(表格1_3346[鍵盤按鍵], MATCH($X50, 表格1_3346[方音符號],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INDEX(表格1_3346[字典編碼], MATCH($X51, 表格1_3346[方音符號], 0)), "")</f>
        <v/>
      </c>
      <c r="AA51" s="114"/>
      <c r="AB51" s="278" t="str">
        <f xml:space="preserve"> IFERROR( INDEX(表格1_3346[鍵盤按鍵], MATCH($X51, 表格1_3346[方音符號],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INDEX(表格1_3346[字典編碼], MATCH($X52, 表格1_3346[方音符號], 0)), "")</f>
        <v/>
      </c>
      <c r="AA52" s="112"/>
      <c r="AB52" s="274" t="str">
        <f xml:space="preserve"> IFERROR( INDEX(表格1_3346[鍵盤按鍵], MATCH($X52, 表格1_3346[方音符號],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INDEX(表格1_3346[字典編碼], MATCH($X53, 表格1_3346[方音符號], 0)), "")</f>
        <v/>
      </c>
      <c r="AA53" s="114"/>
      <c r="AB53" s="278" t="str">
        <f xml:space="preserve"> IFERROR( INDEX(表格1_3346[鍵盤按鍵], MATCH($X53, 表格1_3346[方音符號],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INDEX(表格1_3346[字典編碼], MATCH($X54, 表格1_3346[方音符號], 0)), "")</f>
        <v/>
      </c>
      <c r="AA54" s="112"/>
      <c r="AB54" s="274" t="str">
        <f xml:space="preserve"> IFERROR( INDEX(表格1_3346[鍵盤按鍵], MATCH($X54, 表格1_3346[方音符號],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INDEX(表格1_3346[字典編碼], MATCH($X55, 表格1_3346[方音符號], 0)), "")</f>
        <v/>
      </c>
      <c r="AA55" s="109"/>
      <c r="AB55" s="276" t="str">
        <f xml:space="preserve"> IFERROR( INDEX(表格1_3346[鍵盤按鍵], MATCH($X55, 表格1_3346[方音符號],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INDEX(表格1_3346[字典編碼], MATCH($X56, 表格1_3346[方音符號], 0)), "")</f>
        <v/>
      </c>
      <c r="AA56" s="109"/>
      <c r="AB56" s="276" t="str">
        <f xml:space="preserve"> IFERROR( INDEX(表格1_3346[鍵盤按鍵], MATCH($X56, 表格1_3346[方音符號],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INDEX(表格1_3346[字典編碼], MATCH($X57, 表格1_3346[方音符號], 0)), "")</f>
        <v/>
      </c>
      <c r="AA57" s="109"/>
      <c r="AB57" s="276" t="str">
        <f xml:space="preserve"> IFERROR( INDEX(表格1_3346[鍵盤按鍵], MATCH($X57, 表格1_3346[方音符號],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INDEX(表格1_3346[字典編碼], MATCH($X58, 表格1_3346[方音符號], 0)), "")</f>
        <v/>
      </c>
      <c r="AA58" s="114"/>
      <c r="AB58" s="278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E60"/>
  <sheetViews>
    <sheetView tabSelected="1" topLeftCell="K33" workbookViewId="0">
      <selection activeCell="T53" sqref="T53:X53"/>
    </sheetView>
  </sheetViews>
  <sheetFormatPr defaultColWidth="10.8984375" defaultRowHeight="32.25"/>
  <cols>
    <col min="1" max="1" width="3.69921875" style="13" customWidth="1"/>
    <col min="2" max="2" width="5.59765625" style="13" customWidth="1"/>
    <col min="3" max="3" width="10.59765625" style="159" customWidth="1"/>
    <col min="4" max="4" width="10.59765625" style="124" customWidth="1"/>
    <col min="5" max="6" width="10.59765625" style="118" customWidth="1"/>
    <col min="7" max="7" width="10.09765625" style="13" customWidth="1"/>
    <col min="8" max="8" width="5.59765625" style="13" customWidth="1"/>
    <col min="9" max="9" width="10.59765625" style="118" customWidth="1"/>
    <col min="10" max="10" width="10.59765625" style="159" customWidth="1"/>
    <col min="11" max="11" width="10.59765625" style="124" customWidth="1"/>
    <col min="12" max="12" width="10.59765625" style="118" customWidth="1"/>
    <col min="13" max="13" width="5" style="13" customWidth="1"/>
    <col min="14" max="14" width="5.59765625" style="13" customWidth="1"/>
    <col min="15" max="15" width="10.59765625" style="118" customWidth="1"/>
    <col min="16" max="16" width="10.59765625" style="159" customWidth="1"/>
    <col min="17" max="17" width="10.59765625" style="124" customWidth="1"/>
    <col min="18" max="18" width="10.59765625" style="118" customWidth="1"/>
    <col min="19" max="19" width="10.09765625" style="13" customWidth="1"/>
    <col min="20" max="20" width="5.59765625" style="13" customWidth="1"/>
    <col min="21" max="25" width="10.8984375" style="13"/>
    <col min="26" max="26" width="10.8984375" style="503"/>
    <col min="27" max="16384" width="10.8984375" style="13"/>
  </cols>
  <sheetData>
    <row r="1" spans="2:31">
      <c r="Z1" s="505" t="s">
        <v>768</v>
      </c>
      <c r="AA1" s="514" t="str">
        <f xml:space="preserve"> _xlfn.CONCAT("'", U5:U48, "'")</f>
        <v>'1qa2wsxedcvyhnujm8ik,9l0p;/z!EYUJ*I,(L 34567'</v>
      </c>
      <c r="AB1" s="512"/>
      <c r="AC1" s="512"/>
      <c r="AD1" s="512"/>
      <c r="AE1" s="512"/>
    </row>
    <row r="2" spans="2:31">
      <c r="B2" s="494" t="s">
        <v>914</v>
      </c>
      <c r="H2" s="494" t="s">
        <v>510</v>
      </c>
      <c r="N2" s="494" t="s">
        <v>929</v>
      </c>
      <c r="T2" s="494" t="s">
        <v>913</v>
      </c>
      <c r="Z2" s="505" t="s">
        <v>934</v>
      </c>
      <c r="AA2" s="514" t="str">
        <f xml:space="preserve"> _xlfn.CONCAT("'", U5:U42, "'")</f>
        <v>'1qa2wsxedcvyhnujm8ik,9l0p;/z!EYUJ*I,(L'</v>
      </c>
      <c r="AB2" s="512"/>
      <c r="AC2" s="512"/>
      <c r="AD2" s="512"/>
      <c r="AE2" s="512"/>
    </row>
    <row r="4" spans="2:31" s="15" customFormat="1" ht="24" thickBot="1">
      <c r="B4" s="476" t="s">
        <v>103</v>
      </c>
      <c r="C4" s="478" t="s">
        <v>104</v>
      </c>
      <c r="D4" s="479" t="s">
        <v>356</v>
      </c>
      <c r="E4" s="481" t="s">
        <v>326</v>
      </c>
      <c r="F4" s="482" t="s">
        <v>167</v>
      </c>
      <c r="H4" s="476" t="s">
        <v>103</v>
      </c>
      <c r="I4" s="477" t="s">
        <v>167</v>
      </c>
      <c r="J4" s="478" t="s">
        <v>104</v>
      </c>
      <c r="K4" s="479" t="s">
        <v>356</v>
      </c>
      <c r="L4" s="480" t="s">
        <v>326</v>
      </c>
      <c r="N4" s="476" t="s">
        <v>103</v>
      </c>
      <c r="O4" s="477" t="s">
        <v>167</v>
      </c>
      <c r="P4" s="478" t="s">
        <v>104</v>
      </c>
      <c r="Q4" s="479" t="s">
        <v>356</v>
      </c>
      <c r="R4" s="480" t="s">
        <v>326</v>
      </c>
      <c r="T4" s="500" t="s">
        <v>103</v>
      </c>
      <c r="U4" s="501" t="s">
        <v>167</v>
      </c>
      <c r="V4" s="502" t="s">
        <v>104</v>
      </c>
      <c r="W4" s="338" t="s">
        <v>356</v>
      </c>
      <c r="X4" s="348" t="s">
        <v>326</v>
      </c>
      <c r="Z4" s="504"/>
    </row>
    <row r="5" spans="2:31" ht="33" thickTop="1">
      <c r="B5" s="483">
        <v>1</v>
      </c>
      <c r="C5" s="160" t="s">
        <v>8</v>
      </c>
      <c r="D5" s="119" t="s">
        <v>9</v>
      </c>
      <c r="E5" s="109" t="s">
        <v>9</v>
      </c>
      <c r="F5" s="110">
        <v>1</v>
      </c>
      <c r="H5" s="273">
        <v>1</v>
      </c>
      <c r="I5" s="113">
        <v>1</v>
      </c>
      <c r="J5" s="161" t="s">
        <v>8</v>
      </c>
      <c r="K5" s="120" t="s">
        <v>9</v>
      </c>
      <c r="L5" s="463" t="s">
        <v>9</v>
      </c>
      <c r="N5" s="273">
        <v>1</v>
      </c>
      <c r="O5" s="513" t="s">
        <v>731</v>
      </c>
      <c r="P5" s="161" t="str">
        <f>C7</f>
        <v>ㆠ</v>
      </c>
      <c r="Q5" s="120" t="str">
        <f xml:space="preserve"> IFERROR( INDEX($D$5:$D$60, MATCH($P5, $C$5:$C$60,0)), "")</f>
        <v>b</v>
      </c>
      <c r="R5" s="463" t="str">
        <f xml:space="preserve"> IFERROR( INDEX($E$5:$E$60, MATCH($P5, $C$5:$C$60,0)), "")</f>
        <v>b</v>
      </c>
      <c r="T5" s="473">
        <f xml:space="preserve"> ROW() - 4</f>
        <v>1</v>
      </c>
      <c r="U5" s="464" cm="1">
        <f t="array" ref="U5:X32">_xlfn._xlws.FILTER(I5:L50, J5:J50&lt;&gt;"")</f>
        <v>1</v>
      </c>
      <c r="V5" s="465" t="str">
        <v>ㄅ</v>
      </c>
      <c r="W5" s="466" t="str">
        <v>p</v>
      </c>
      <c r="X5" s="474" t="str">
        <v>p</v>
      </c>
      <c r="Z5" s="505" t="s">
        <v>930</v>
      </c>
      <c r="AC5" s="507" t="str">
        <f xml:space="preserve"> "- 'xlit|" &amp; Z6 &amp; "|" &amp; Z7 &amp; "|'"</f>
        <v>- 'xlit|pPmtTnlkKhwcCsiuMaOoeIULDQWAbgjZXRSEVF|1qa2wsxedcvyhnujm8ik,9l0p;/z!EYUJ*I,(L|'</v>
      </c>
    </row>
    <row r="6" spans="2:31">
      <c r="B6" s="483">
        <v>2</v>
      </c>
      <c r="C6" s="160" t="s">
        <v>37</v>
      </c>
      <c r="D6" s="119" t="s">
        <v>38</v>
      </c>
      <c r="E6" s="109" t="s">
        <v>33</v>
      </c>
      <c r="F6" s="110" t="s">
        <v>164</v>
      </c>
      <c r="H6" s="275">
        <f>H5+1</f>
        <v>2</v>
      </c>
      <c r="I6" s="464" t="s">
        <v>300</v>
      </c>
      <c r="J6" s="465" t="s">
        <v>37</v>
      </c>
      <c r="K6" s="466" t="s">
        <v>38</v>
      </c>
      <c r="L6" s="467" t="s">
        <v>33</v>
      </c>
      <c r="N6" s="275">
        <f>N5+1</f>
        <v>2</v>
      </c>
      <c r="O6" s="464" t="s">
        <v>725</v>
      </c>
      <c r="P6" s="465"/>
      <c r="Q6" s="466" t="str">
        <f t="shared" ref="Q6:Q59" si="0" xml:space="preserve"> IFERROR( INDEX($D$5:$D$60, MATCH($P6, $C$5:$C$60,0)), "")</f>
        <v/>
      </c>
      <c r="R6" s="467" t="str">
        <f t="shared" ref="R6:R59" si="1" xml:space="preserve"> IFERROR( INDEX($E$5:$E$60, MATCH($P6, $C$5:$C$60,0)), "")</f>
        <v/>
      </c>
      <c r="T6" s="473">
        <f t="shared" ref="T6:T48" si="2" xml:space="preserve"> ROW() - 4</f>
        <v>2</v>
      </c>
      <c r="U6" s="464" t="str">
        <v>q</v>
      </c>
      <c r="V6" s="465" t="str">
        <v>ㄆ</v>
      </c>
      <c r="W6" s="466" t="str">
        <v>ph</v>
      </c>
      <c r="X6" s="474" t="str">
        <v>P</v>
      </c>
      <c r="Z6" s="503" t="str">
        <f xml:space="preserve"> _xlfn.CONCAT($X$5:$X$42)</f>
        <v>pPmtTnlkKhwcCsiuMaOoeIULDQWAbgjZXRSEVF</v>
      </c>
    </row>
    <row r="7" spans="2:31">
      <c r="B7" s="483">
        <v>3</v>
      </c>
      <c r="C7" s="160" t="s">
        <v>90</v>
      </c>
      <c r="D7" s="119" t="s">
        <v>91</v>
      </c>
      <c r="E7" s="111" t="s">
        <v>91</v>
      </c>
      <c r="F7" s="110" t="s">
        <v>903</v>
      </c>
      <c r="H7" s="275">
        <f t="shared" ref="H7:H59" si="3">H6+1</f>
        <v>3</v>
      </c>
      <c r="I7" s="464" t="s">
        <v>137</v>
      </c>
      <c r="J7" s="465" t="s">
        <v>55</v>
      </c>
      <c r="K7" s="466" t="s">
        <v>66</v>
      </c>
      <c r="L7" s="468" t="s">
        <v>66</v>
      </c>
      <c r="N7" s="275">
        <f t="shared" ref="N7:N59" si="4">N6+1</f>
        <v>3</v>
      </c>
      <c r="O7" s="464" t="s">
        <v>307</v>
      </c>
      <c r="P7" s="465"/>
      <c r="Q7" s="466" t="str">
        <f t="shared" si="0"/>
        <v/>
      </c>
      <c r="R7" s="468" t="str">
        <f t="shared" si="1"/>
        <v/>
      </c>
      <c r="T7" s="473">
        <f t="shared" si="2"/>
        <v>3</v>
      </c>
      <c r="U7" s="464" t="str">
        <v>a</v>
      </c>
      <c r="V7" s="465" t="str">
        <v>ㄇ</v>
      </c>
      <c r="W7" s="466" t="str">
        <v>m</v>
      </c>
      <c r="X7" s="475" t="str">
        <v>m</v>
      </c>
      <c r="Z7" s="503" t="str">
        <f xml:space="preserve"> _xlfn.CONCAT($U$5:$U$42)</f>
        <v>1qa2wsxedcvyhnujm8ik,9l0p;/z!EYUJ*I,(L</v>
      </c>
    </row>
    <row r="8" spans="2:31">
      <c r="B8" s="483">
        <v>4</v>
      </c>
      <c r="C8" s="160" t="s">
        <v>55</v>
      </c>
      <c r="D8" s="119" t="s">
        <v>66</v>
      </c>
      <c r="E8" s="109" t="s">
        <v>66</v>
      </c>
      <c r="F8" s="110" t="s">
        <v>21</v>
      </c>
      <c r="H8" s="277">
        <f t="shared" si="3"/>
        <v>4</v>
      </c>
      <c r="I8" s="115" t="s">
        <v>301</v>
      </c>
      <c r="J8" s="162" t="s">
        <v>905</v>
      </c>
      <c r="K8" s="121" t="s">
        <v>905</v>
      </c>
      <c r="L8" s="469" t="s">
        <v>905</v>
      </c>
      <c r="N8" s="277">
        <f t="shared" si="4"/>
        <v>4</v>
      </c>
      <c r="O8" s="115" t="s">
        <v>303</v>
      </c>
      <c r="P8" s="162"/>
      <c r="Q8" s="121" t="str">
        <f t="shared" si="0"/>
        <v/>
      </c>
      <c r="R8" s="469" t="str">
        <f t="shared" si="1"/>
        <v/>
      </c>
      <c r="T8" s="473">
        <f t="shared" si="2"/>
        <v>4</v>
      </c>
      <c r="U8" s="464">
        <v>2</v>
      </c>
      <c r="V8" s="465" t="str">
        <v>ㄉ</v>
      </c>
      <c r="W8" s="466" t="str">
        <v>t</v>
      </c>
      <c r="X8" s="474" t="str">
        <v>t</v>
      </c>
    </row>
    <row r="9" spans="2:31">
      <c r="B9" s="484">
        <v>5</v>
      </c>
      <c r="C9" s="161" t="s">
        <v>10</v>
      </c>
      <c r="D9" s="120" t="s">
        <v>11</v>
      </c>
      <c r="E9" s="112" t="s">
        <v>11</v>
      </c>
      <c r="F9" s="113">
        <v>2</v>
      </c>
      <c r="H9" s="273">
        <f t="shared" si="3"/>
        <v>5</v>
      </c>
      <c r="I9" s="113">
        <v>2</v>
      </c>
      <c r="J9" s="161" t="s">
        <v>10</v>
      </c>
      <c r="K9" s="120" t="s">
        <v>11</v>
      </c>
      <c r="L9" s="463" t="s">
        <v>11</v>
      </c>
      <c r="N9" s="273">
        <f t="shared" si="4"/>
        <v>5</v>
      </c>
      <c r="O9" s="471" t="s">
        <v>915</v>
      </c>
      <c r="P9" s="161"/>
      <c r="Q9" s="120" t="str">
        <f t="shared" si="0"/>
        <v/>
      </c>
      <c r="R9" s="463" t="str">
        <f t="shared" si="1"/>
        <v/>
      </c>
      <c r="T9" s="473">
        <f t="shared" si="2"/>
        <v>5</v>
      </c>
      <c r="U9" s="464" t="str">
        <v>w</v>
      </c>
      <c r="V9" s="465" t="str">
        <v>ㄊ</v>
      </c>
      <c r="W9" s="466" t="str">
        <v>th</v>
      </c>
      <c r="X9" s="474" t="str">
        <v>T</v>
      </c>
      <c r="Z9" s="505" t="s">
        <v>931</v>
      </c>
      <c r="AC9" s="507" t="str">
        <f xml:space="preserve"> "- 'xlit|" &amp; Z10 &amp; "|" &amp; Z11 &amp; "|'"</f>
        <v>- 'xlit|1qa2wsxedcvyhnujm8ik,9l0p;/z!EYUJ*I,(L|ㄅㄆㄇㄉㄊㄋㄌㄍㄎㄏㄫㄗㄘㄙㄧㄨㆬㄚㆦㄜㄝㄞㄠㄢㄣㄤㄥ声ㆠㆣㆡㆪㆫㆩㆧㆥㆮㆯ|'</v>
      </c>
    </row>
    <row r="10" spans="2:31">
      <c r="B10" s="483">
        <v>6</v>
      </c>
      <c r="C10" s="160" t="s">
        <v>39</v>
      </c>
      <c r="D10" s="119" t="s">
        <v>40</v>
      </c>
      <c r="E10" s="109" t="s">
        <v>28</v>
      </c>
      <c r="F10" s="110" t="s">
        <v>170</v>
      </c>
      <c r="H10" s="275">
        <f t="shared" si="3"/>
        <v>6</v>
      </c>
      <c r="I10" s="464" t="s">
        <v>345</v>
      </c>
      <c r="J10" s="465" t="s">
        <v>39</v>
      </c>
      <c r="K10" s="466" t="s">
        <v>40</v>
      </c>
      <c r="L10" s="467" t="s">
        <v>28</v>
      </c>
      <c r="N10" s="275">
        <f t="shared" si="4"/>
        <v>6</v>
      </c>
      <c r="O10" s="464" t="s">
        <v>720</v>
      </c>
      <c r="P10" s="465"/>
      <c r="Q10" s="466" t="str">
        <f t="shared" si="0"/>
        <v/>
      </c>
      <c r="R10" s="467" t="str">
        <f t="shared" si="1"/>
        <v/>
      </c>
      <c r="T10" s="473">
        <f t="shared" si="2"/>
        <v>6</v>
      </c>
      <c r="U10" s="464" t="str">
        <v>s</v>
      </c>
      <c r="V10" s="465" t="str">
        <v>ㄋ</v>
      </c>
      <c r="W10" s="466" t="str">
        <v>n</v>
      </c>
      <c r="X10" s="474" t="str">
        <v>n</v>
      </c>
      <c r="Z10" s="503" t="str">
        <f xml:space="preserve"> _xlfn.CONCAT($U$5:$U$42)</f>
        <v>1qa2wsxedcvyhnujm8ik,9l0p;/z!EYUJ*I,(L</v>
      </c>
    </row>
    <row r="11" spans="2:31">
      <c r="B11" s="483">
        <v>7</v>
      </c>
      <c r="C11" s="160" t="s">
        <v>67</v>
      </c>
      <c r="D11" s="119" t="s">
        <v>68</v>
      </c>
      <c r="E11" s="109" t="s">
        <v>68</v>
      </c>
      <c r="F11" s="110" t="s">
        <v>99</v>
      </c>
      <c r="H11" s="275">
        <f t="shared" si="3"/>
        <v>7</v>
      </c>
      <c r="I11" s="464" t="s">
        <v>136</v>
      </c>
      <c r="J11" s="465" t="s">
        <v>67</v>
      </c>
      <c r="K11" s="466" t="s">
        <v>68</v>
      </c>
      <c r="L11" s="468" t="s">
        <v>68</v>
      </c>
      <c r="N11" s="275">
        <f t="shared" si="4"/>
        <v>7</v>
      </c>
      <c r="O11" s="464" t="s">
        <v>751</v>
      </c>
      <c r="P11" s="465"/>
      <c r="Q11" s="466" t="str">
        <f t="shared" si="0"/>
        <v/>
      </c>
      <c r="R11" s="468" t="str">
        <f t="shared" si="1"/>
        <v/>
      </c>
      <c r="T11" s="473">
        <f t="shared" si="2"/>
        <v>7</v>
      </c>
      <c r="U11" s="464" t="str">
        <v>x</v>
      </c>
      <c r="V11" s="465" t="str">
        <v>ㄌ</v>
      </c>
      <c r="W11" s="466" t="str">
        <v>l</v>
      </c>
      <c r="X11" s="475" t="str">
        <v>l</v>
      </c>
      <c r="Z11" s="503" t="str">
        <f xml:space="preserve"> _xlfn.CONCAT($V$5:$V$42)</f>
        <v>ㄅㄆㄇㄉㄊㄋㄌㄍㄎㄏㄫㄗㄘㄙㄧㄨㆬㄚㆦㄜㄝㄞㄠㄢㄣㄤㄥ声ㆠㆣㆡㆪㆫㆩㆧㆥㆮㆯ</v>
      </c>
    </row>
    <row r="12" spans="2:31">
      <c r="B12" s="485">
        <v>8</v>
      </c>
      <c r="C12" s="162" t="s">
        <v>92</v>
      </c>
      <c r="D12" s="121" t="s">
        <v>93</v>
      </c>
      <c r="E12" s="114" t="s">
        <v>93</v>
      </c>
      <c r="F12" s="115" t="s">
        <v>171</v>
      </c>
      <c r="H12" s="277">
        <f t="shared" si="3"/>
        <v>8</v>
      </c>
      <c r="I12" s="115" t="s">
        <v>347</v>
      </c>
      <c r="J12" s="162" t="s">
        <v>92</v>
      </c>
      <c r="K12" s="121" t="s">
        <v>93</v>
      </c>
      <c r="L12" s="469" t="s">
        <v>93</v>
      </c>
      <c r="N12" s="277">
        <f t="shared" si="4"/>
        <v>8</v>
      </c>
      <c r="O12" s="115" t="s">
        <v>748</v>
      </c>
      <c r="P12" s="162"/>
      <c r="Q12" s="121" t="str">
        <f t="shared" si="0"/>
        <v/>
      </c>
      <c r="R12" s="469" t="str">
        <f t="shared" si="1"/>
        <v/>
      </c>
      <c r="T12" s="473">
        <f t="shared" si="2"/>
        <v>8</v>
      </c>
      <c r="U12" s="464" t="str">
        <v>e</v>
      </c>
      <c r="V12" s="465" t="str">
        <v>ㄍ</v>
      </c>
      <c r="W12" s="466" t="str">
        <v>k</v>
      </c>
      <c r="X12" s="474" t="str">
        <v>k</v>
      </c>
    </row>
    <row r="13" spans="2:31">
      <c r="B13" s="483">
        <v>9</v>
      </c>
      <c r="C13" s="160" t="s">
        <v>41</v>
      </c>
      <c r="D13" s="119" t="s">
        <v>42</v>
      </c>
      <c r="E13" s="109" t="s">
        <v>42</v>
      </c>
      <c r="F13" s="110" t="s">
        <v>53</v>
      </c>
      <c r="H13" s="273">
        <f t="shared" si="3"/>
        <v>9</v>
      </c>
      <c r="I13" s="113">
        <v>3</v>
      </c>
      <c r="J13" s="161"/>
      <c r="K13" s="120">
        <v>3</v>
      </c>
      <c r="L13" s="463">
        <v>3</v>
      </c>
      <c r="N13" s="273">
        <f t="shared" si="4"/>
        <v>9</v>
      </c>
      <c r="O13" s="471" t="s">
        <v>916</v>
      </c>
      <c r="P13" s="161"/>
      <c r="Q13" s="120" t="str">
        <f t="shared" si="0"/>
        <v/>
      </c>
      <c r="R13" s="463" t="str">
        <f t="shared" si="1"/>
        <v/>
      </c>
      <c r="T13" s="473">
        <f t="shared" si="2"/>
        <v>9</v>
      </c>
      <c r="U13" s="464" t="str">
        <v>d</v>
      </c>
      <c r="V13" s="465" t="str">
        <v>ㄎ</v>
      </c>
      <c r="W13" s="466" t="str">
        <v>kh</v>
      </c>
      <c r="X13" s="474" t="str">
        <v>K</v>
      </c>
      <c r="Z13" s="505" t="s">
        <v>932</v>
      </c>
      <c r="AC13" s="507" t="str">
        <f xml:space="preserve"> "- 'xlit|" &amp; Z14 &amp; "|" &amp; Z15 &amp; "|'"</f>
        <v>- 'xlit|pPmtTnlkKhwcCsiuMaOoeIULDQWAbgjZXRSEVF|ㄅㄆㄇㄉㄊㄋㄌㄍㄎㄏㄫㄗㄘㄙㄧㄨㆬㄚㆦㄜㄝㄞㄠㄢㄣㄤㄥ声ㆠㆣㆡㆪㆫㆩㆧㆥㆮㆯ|'</v>
      </c>
    </row>
    <row r="14" spans="2:31">
      <c r="B14" s="483">
        <v>10</v>
      </c>
      <c r="C14" s="160" t="s">
        <v>69</v>
      </c>
      <c r="D14" s="119" t="s">
        <v>70</v>
      </c>
      <c r="E14" s="109" t="s">
        <v>62</v>
      </c>
      <c r="F14" s="110" t="s">
        <v>163</v>
      </c>
      <c r="H14" s="275">
        <f t="shared" si="3"/>
        <v>10</v>
      </c>
      <c r="I14" s="464" t="s">
        <v>141</v>
      </c>
      <c r="J14" s="465" t="s">
        <v>41</v>
      </c>
      <c r="K14" s="466" t="s">
        <v>42</v>
      </c>
      <c r="L14" s="467" t="s">
        <v>42</v>
      </c>
      <c r="N14" s="275">
        <f t="shared" si="4"/>
        <v>10</v>
      </c>
      <c r="O14" s="464" t="s">
        <v>746</v>
      </c>
      <c r="P14" s="465" t="str">
        <f>C15</f>
        <v>ㆣ</v>
      </c>
      <c r="Q14" s="466" t="str">
        <f t="shared" si="0"/>
        <v>g</v>
      </c>
      <c r="R14" s="467" t="str">
        <f t="shared" si="1"/>
        <v>g</v>
      </c>
      <c r="T14" s="473">
        <f t="shared" si="2"/>
        <v>10</v>
      </c>
      <c r="U14" s="464" t="str">
        <v>c</v>
      </c>
      <c r="V14" s="465" t="str">
        <v>ㄏ</v>
      </c>
      <c r="W14" s="466" t="str">
        <v>h</v>
      </c>
      <c r="X14" s="474" t="str">
        <v>h</v>
      </c>
      <c r="Z14" s="503" t="str">
        <f xml:space="preserve"> _xlfn.CONCAT($X$5:$X$42)</f>
        <v>pPmtTnlkKhwcCsiuMaOoeIULDQWAbgjZXRSEVF</v>
      </c>
    </row>
    <row r="15" spans="2:31">
      <c r="B15" s="483">
        <v>11</v>
      </c>
      <c r="C15" s="160" t="s">
        <v>44</v>
      </c>
      <c r="D15" s="119" t="s">
        <v>45</v>
      </c>
      <c r="E15" s="109" t="s">
        <v>45</v>
      </c>
      <c r="F15" s="110" t="s">
        <v>26</v>
      </c>
      <c r="H15" s="275">
        <f t="shared" si="3"/>
        <v>11</v>
      </c>
      <c r="I15" s="464" t="s">
        <v>298</v>
      </c>
      <c r="J15" s="465" t="s">
        <v>69</v>
      </c>
      <c r="K15" s="466" t="s">
        <v>70</v>
      </c>
      <c r="L15" s="468" t="s">
        <v>62</v>
      </c>
      <c r="N15" s="275">
        <f t="shared" si="4"/>
        <v>11</v>
      </c>
      <c r="O15" s="464" t="s">
        <v>355</v>
      </c>
      <c r="P15" s="465"/>
      <c r="Q15" s="466" t="str">
        <f t="shared" si="0"/>
        <v/>
      </c>
      <c r="R15" s="468" t="str">
        <f t="shared" si="1"/>
        <v/>
      </c>
      <c r="T15" s="473">
        <f t="shared" si="2"/>
        <v>11</v>
      </c>
      <c r="U15" s="464" t="str">
        <v>v</v>
      </c>
      <c r="V15" s="465" t="str">
        <v>ㄫ</v>
      </c>
      <c r="W15" s="466" t="str">
        <v>ng</v>
      </c>
      <c r="X15" s="475" t="str">
        <v>w</v>
      </c>
      <c r="Z15" s="503" t="str">
        <f xml:space="preserve"> _xlfn.CONCAT($V$5:$V$42)</f>
        <v>ㄅㄆㄇㄉㄊㄋㄌㄍㄎㄏㄫㄗㄘㄙㄧㄨㆬㄚㆦㄜㄝㄞㄠㄢㄣㄤㄥ声ㆠㆣㆡㆪㆫㆩㆧㆥㆮㆯ</v>
      </c>
    </row>
    <row r="16" spans="2:31">
      <c r="B16" s="483">
        <v>12</v>
      </c>
      <c r="C16" s="160" t="s">
        <v>72</v>
      </c>
      <c r="D16" s="119" t="s">
        <v>73</v>
      </c>
      <c r="E16" s="111" t="s">
        <v>170</v>
      </c>
      <c r="F16" s="110" t="s">
        <v>174</v>
      </c>
      <c r="H16" s="277">
        <f t="shared" si="3"/>
        <v>12</v>
      </c>
      <c r="I16" s="115" t="s">
        <v>302</v>
      </c>
      <c r="J16" s="162" t="s">
        <v>94</v>
      </c>
      <c r="K16" s="121" t="s">
        <v>95</v>
      </c>
      <c r="L16" s="469" t="s">
        <v>95</v>
      </c>
      <c r="N16" s="277">
        <f t="shared" si="4"/>
        <v>12</v>
      </c>
      <c r="O16" s="115" t="s">
        <v>325</v>
      </c>
      <c r="P16" s="162"/>
      <c r="Q16" s="121" t="str">
        <f t="shared" si="0"/>
        <v/>
      </c>
      <c r="R16" s="469" t="str">
        <f t="shared" si="1"/>
        <v/>
      </c>
      <c r="T16" s="473">
        <f t="shared" si="2"/>
        <v>12</v>
      </c>
      <c r="U16" s="464" t="str">
        <v>y</v>
      </c>
      <c r="V16" s="465" t="str">
        <v>ㄗ</v>
      </c>
      <c r="W16" s="466" t="str">
        <v>c</v>
      </c>
      <c r="X16" s="474" t="str">
        <v>c</v>
      </c>
    </row>
    <row r="17" spans="2:24">
      <c r="B17" s="484">
        <v>13</v>
      </c>
      <c r="C17" s="161" t="s">
        <v>46</v>
      </c>
      <c r="D17" s="120" t="s">
        <v>166</v>
      </c>
      <c r="E17" s="112" t="s">
        <v>166</v>
      </c>
      <c r="F17" s="113" t="s">
        <v>175</v>
      </c>
      <c r="H17" s="273">
        <f t="shared" si="3"/>
        <v>13</v>
      </c>
      <c r="I17" s="113">
        <v>4</v>
      </c>
      <c r="J17" s="161"/>
      <c r="K17" s="120">
        <v>2</v>
      </c>
      <c r="L17" s="463">
        <v>2</v>
      </c>
      <c r="N17" s="273">
        <f t="shared" si="4"/>
        <v>13</v>
      </c>
      <c r="O17" s="471" t="s">
        <v>917</v>
      </c>
      <c r="P17" s="161"/>
      <c r="Q17" s="120" t="str">
        <f t="shared" si="0"/>
        <v/>
      </c>
      <c r="R17" s="463" t="str">
        <f t="shared" si="1"/>
        <v/>
      </c>
      <c r="T17" s="473">
        <f t="shared" si="2"/>
        <v>13</v>
      </c>
      <c r="U17" s="464" t="str">
        <v>h</v>
      </c>
      <c r="V17" s="465" t="str">
        <v>ㄘ</v>
      </c>
      <c r="W17" s="466" t="str">
        <v>ch</v>
      </c>
      <c r="X17" s="474" t="str">
        <v>C</v>
      </c>
    </row>
    <row r="18" spans="2:24">
      <c r="B18" s="483">
        <v>14</v>
      </c>
      <c r="C18" s="160" t="s">
        <v>74</v>
      </c>
      <c r="D18" s="119" t="s">
        <v>805</v>
      </c>
      <c r="E18" s="109" t="s">
        <v>83</v>
      </c>
      <c r="F18" s="110" t="s">
        <v>95</v>
      </c>
      <c r="H18" s="275">
        <f t="shared" si="3"/>
        <v>14</v>
      </c>
      <c r="I18" s="464" t="s">
        <v>765</v>
      </c>
      <c r="J18" s="465"/>
      <c r="K18" s="466" t="s">
        <v>612</v>
      </c>
      <c r="L18" s="467" t="s">
        <v>29</v>
      </c>
      <c r="N18" s="275">
        <f t="shared" si="4"/>
        <v>14</v>
      </c>
      <c r="O18" s="464" t="s">
        <v>749</v>
      </c>
      <c r="P18" s="465"/>
      <c r="Q18" s="466" t="str">
        <f t="shared" si="0"/>
        <v/>
      </c>
      <c r="R18" s="467" t="str">
        <f t="shared" si="1"/>
        <v/>
      </c>
      <c r="T18" s="473">
        <f t="shared" si="2"/>
        <v>14</v>
      </c>
      <c r="U18" s="464" t="str">
        <v>n</v>
      </c>
      <c r="V18" s="465" t="str">
        <v>ㄙ</v>
      </c>
      <c r="W18" s="466" t="str">
        <v>s</v>
      </c>
      <c r="X18" s="474" t="str">
        <v>s</v>
      </c>
    </row>
    <row r="19" spans="2:24">
      <c r="B19" s="483">
        <v>15</v>
      </c>
      <c r="C19" s="160" t="s">
        <v>106</v>
      </c>
      <c r="D19" s="119" t="s">
        <v>97</v>
      </c>
      <c r="E19" s="109" t="s">
        <v>97</v>
      </c>
      <c r="F19" s="110" t="s">
        <v>29</v>
      </c>
      <c r="H19" s="275">
        <f t="shared" si="3"/>
        <v>15</v>
      </c>
      <c r="I19" s="464" t="s">
        <v>767</v>
      </c>
      <c r="J19" s="465"/>
      <c r="K19" s="466" t="s">
        <v>603</v>
      </c>
      <c r="L19" s="468" t="s">
        <v>60</v>
      </c>
      <c r="N19" s="275">
        <f t="shared" si="4"/>
        <v>15</v>
      </c>
      <c r="O19" s="464" t="s">
        <v>752</v>
      </c>
      <c r="P19" s="465"/>
      <c r="Q19" s="466" t="str">
        <f t="shared" si="0"/>
        <v/>
      </c>
      <c r="R19" s="468" t="str">
        <f t="shared" si="1"/>
        <v/>
      </c>
      <c r="T19" s="473">
        <f t="shared" si="2"/>
        <v>15</v>
      </c>
      <c r="U19" s="464" t="str">
        <v>u</v>
      </c>
      <c r="V19" s="465" t="str">
        <v>ㄧ</v>
      </c>
      <c r="W19" s="466" t="str">
        <v>i</v>
      </c>
      <c r="X19" s="475" t="str">
        <v>i</v>
      </c>
    </row>
    <row r="20" spans="2:24">
      <c r="B20" s="485">
        <v>16</v>
      </c>
      <c r="C20" s="162" t="s">
        <v>98</v>
      </c>
      <c r="D20" s="121" t="s">
        <v>99</v>
      </c>
      <c r="E20" s="114" t="s">
        <v>99</v>
      </c>
      <c r="F20" s="115" t="s">
        <v>68</v>
      </c>
      <c r="H20" s="277">
        <f t="shared" si="3"/>
        <v>16</v>
      </c>
      <c r="I20" s="115" t="s">
        <v>349</v>
      </c>
      <c r="J20" s="162" t="s">
        <v>72</v>
      </c>
      <c r="K20" s="121" t="s">
        <v>73</v>
      </c>
      <c r="L20" s="469" t="s">
        <v>170</v>
      </c>
      <c r="N20" s="277">
        <f t="shared" si="4"/>
        <v>16</v>
      </c>
      <c r="O20" s="115" t="s">
        <v>750</v>
      </c>
      <c r="P20" s="162"/>
      <c r="Q20" s="121" t="str">
        <f t="shared" si="0"/>
        <v/>
      </c>
      <c r="R20" s="469" t="str">
        <f t="shared" si="1"/>
        <v/>
      </c>
      <c r="T20" s="473">
        <f t="shared" si="2"/>
        <v>16</v>
      </c>
      <c r="U20" s="464" t="str">
        <v>j</v>
      </c>
      <c r="V20" s="465" t="str">
        <v>ㄨ</v>
      </c>
      <c r="W20" s="466" t="str">
        <v>u</v>
      </c>
      <c r="X20" s="474" t="str">
        <v>u</v>
      </c>
    </row>
    <row r="21" spans="2:24">
      <c r="B21" s="486">
        <v>17</v>
      </c>
      <c r="C21" s="163" t="s">
        <v>94</v>
      </c>
      <c r="D21" s="122" t="s">
        <v>95</v>
      </c>
      <c r="E21" s="116" t="s">
        <v>95</v>
      </c>
      <c r="F21" s="117" t="s">
        <v>166</v>
      </c>
      <c r="H21" s="273">
        <f t="shared" si="3"/>
        <v>17</v>
      </c>
      <c r="I21" s="113">
        <v>5</v>
      </c>
      <c r="J21" s="161"/>
      <c r="K21" s="120">
        <v>7</v>
      </c>
      <c r="L21" s="463">
        <v>7</v>
      </c>
      <c r="N21" s="273">
        <f t="shared" si="4"/>
        <v>17</v>
      </c>
      <c r="O21" s="471" t="s">
        <v>918</v>
      </c>
      <c r="P21" s="161"/>
      <c r="Q21" s="120" t="str">
        <f t="shared" si="0"/>
        <v/>
      </c>
      <c r="R21" s="463" t="str">
        <f t="shared" si="1"/>
        <v/>
      </c>
      <c r="T21" s="473">
        <f t="shared" si="2"/>
        <v>17</v>
      </c>
      <c r="U21" s="464" t="str">
        <v>m</v>
      </c>
      <c r="V21" s="465" t="str">
        <v>ㆬ</v>
      </c>
      <c r="W21" s="466" t="str">
        <v>-m</v>
      </c>
      <c r="X21" s="474" t="str">
        <v>M</v>
      </c>
    </row>
    <row r="22" spans="2:24">
      <c r="B22" s="487">
        <v>18</v>
      </c>
      <c r="C22" s="161" t="s">
        <v>48</v>
      </c>
      <c r="D22" s="120" t="s">
        <v>49</v>
      </c>
      <c r="E22" s="112" t="s">
        <v>49</v>
      </c>
      <c r="F22" s="113" t="s">
        <v>77</v>
      </c>
      <c r="H22" s="275">
        <f t="shared" si="3"/>
        <v>18</v>
      </c>
      <c r="I22" s="464" t="s">
        <v>197</v>
      </c>
      <c r="J22" s="465" t="s">
        <v>905</v>
      </c>
      <c r="K22" s="466" t="s">
        <v>905</v>
      </c>
      <c r="L22" s="467" t="s">
        <v>905</v>
      </c>
      <c r="N22" s="275">
        <f t="shared" si="4"/>
        <v>18</v>
      </c>
      <c r="O22" s="464" t="s">
        <v>338</v>
      </c>
      <c r="P22" s="465"/>
      <c r="Q22" s="466" t="str">
        <f t="shared" si="0"/>
        <v/>
      </c>
      <c r="R22" s="467" t="str">
        <f t="shared" si="1"/>
        <v/>
      </c>
      <c r="T22" s="473">
        <f t="shared" si="2"/>
        <v>18</v>
      </c>
      <c r="U22" s="464">
        <v>8</v>
      </c>
      <c r="V22" s="465" t="str">
        <v>ㄚ</v>
      </c>
      <c r="W22" s="466" t="str">
        <v>a</v>
      </c>
      <c r="X22" s="474" t="str">
        <v>a</v>
      </c>
    </row>
    <row r="23" spans="2:24">
      <c r="B23" s="173">
        <v>19</v>
      </c>
      <c r="C23" s="160" t="s">
        <v>76</v>
      </c>
      <c r="D23" s="119" t="s">
        <v>77</v>
      </c>
      <c r="E23" s="109" t="s">
        <v>77</v>
      </c>
      <c r="F23" s="110" t="s">
        <v>97</v>
      </c>
      <c r="H23" s="275">
        <f t="shared" si="3"/>
        <v>19</v>
      </c>
      <c r="I23" s="464" t="s">
        <v>126</v>
      </c>
      <c r="J23" s="465" t="s">
        <v>905</v>
      </c>
      <c r="K23" s="466" t="s">
        <v>905</v>
      </c>
      <c r="L23" s="468" t="s">
        <v>905</v>
      </c>
      <c r="N23" s="275">
        <f t="shared" si="4"/>
        <v>19</v>
      </c>
      <c r="O23" s="464" t="s">
        <v>299</v>
      </c>
      <c r="P23" s="465"/>
      <c r="Q23" s="466" t="str">
        <f t="shared" si="0"/>
        <v/>
      </c>
      <c r="R23" s="468" t="str">
        <f t="shared" si="1"/>
        <v/>
      </c>
      <c r="T23" s="473">
        <f t="shared" si="2"/>
        <v>19</v>
      </c>
      <c r="U23" s="464" t="str">
        <v>i</v>
      </c>
      <c r="V23" s="465" t="str">
        <v>ㆦ</v>
      </c>
      <c r="W23" s="466" t="str">
        <v>oo</v>
      </c>
      <c r="X23" s="475" t="str">
        <v>O</v>
      </c>
    </row>
    <row r="24" spans="2:24">
      <c r="B24" s="488">
        <v>20</v>
      </c>
      <c r="C24" s="161" t="s">
        <v>20</v>
      </c>
      <c r="D24" s="120" t="s">
        <v>21</v>
      </c>
      <c r="E24" s="112" t="s">
        <v>21</v>
      </c>
      <c r="F24" s="274">
        <v>8</v>
      </c>
      <c r="H24" s="277">
        <f t="shared" si="3"/>
        <v>20</v>
      </c>
      <c r="I24" s="115" t="s">
        <v>162</v>
      </c>
      <c r="J24" s="162" t="s">
        <v>905</v>
      </c>
      <c r="K24" s="121" t="s">
        <v>905</v>
      </c>
      <c r="L24" s="469" t="s">
        <v>905</v>
      </c>
      <c r="N24" s="277">
        <f t="shared" si="4"/>
        <v>20</v>
      </c>
      <c r="O24" s="115" t="s">
        <v>297</v>
      </c>
      <c r="P24" s="162"/>
      <c r="Q24" s="121" t="str">
        <f t="shared" si="0"/>
        <v/>
      </c>
      <c r="R24" s="469" t="str">
        <f t="shared" si="1"/>
        <v/>
      </c>
      <c r="T24" s="473">
        <f t="shared" si="2"/>
        <v>20</v>
      </c>
      <c r="U24" s="464" t="str">
        <v>k</v>
      </c>
      <c r="V24" s="465" t="str">
        <v>ㄜ</v>
      </c>
      <c r="W24" s="466" t="str">
        <v>o</v>
      </c>
      <c r="X24" s="474" t="str">
        <v>o</v>
      </c>
    </row>
    <row r="25" spans="2:24">
      <c r="B25" s="489">
        <v>21</v>
      </c>
      <c r="C25" s="465" t="s">
        <v>50</v>
      </c>
      <c r="D25" s="466" t="s">
        <v>51</v>
      </c>
      <c r="E25" s="474" t="s">
        <v>32</v>
      </c>
      <c r="F25" s="276" t="s">
        <v>49</v>
      </c>
      <c r="H25" s="273">
        <f t="shared" si="3"/>
        <v>21</v>
      </c>
      <c r="I25" s="113">
        <v>6</v>
      </c>
      <c r="J25" s="161"/>
      <c r="K25" s="120">
        <v>5</v>
      </c>
      <c r="L25" s="463">
        <v>5</v>
      </c>
      <c r="N25" s="273">
        <f t="shared" si="4"/>
        <v>21</v>
      </c>
      <c r="O25" s="471" t="s">
        <v>919</v>
      </c>
      <c r="P25" s="161"/>
      <c r="Q25" s="120" t="str">
        <f t="shared" si="0"/>
        <v/>
      </c>
      <c r="R25" s="463" t="str">
        <f t="shared" si="1"/>
        <v/>
      </c>
      <c r="T25" s="473">
        <f t="shared" si="2"/>
        <v>21</v>
      </c>
      <c r="U25" s="464" t="str">
        <v>,</v>
      </c>
      <c r="V25" s="465" t="str">
        <v>ㄝ</v>
      </c>
      <c r="W25" s="466" t="str">
        <v>e</v>
      </c>
      <c r="X25" s="474" t="str">
        <v>e</v>
      </c>
    </row>
    <row r="26" spans="2:24">
      <c r="B26" s="489">
        <v>22</v>
      </c>
      <c r="C26" s="465" t="s">
        <v>109</v>
      </c>
      <c r="D26" s="466" t="s">
        <v>79</v>
      </c>
      <c r="E26" s="474" t="s">
        <v>79</v>
      </c>
      <c r="F26" s="276" t="s">
        <v>42</v>
      </c>
      <c r="H26" s="275">
        <f t="shared" si="3"/>
        <v>22</v>
      </c>
      <c r="I26" s="464" t="s">
        <v>305</v>
      </c>
      <c r="J26" s="465" t="s">
        <v>46</v>
      </c>
      <c r="K26" s="466" t="s">
        <v>166</v>
      </c>
      <c r="L26" s="467" t="s">
        <v>166</v>
      </c>
      <c r="N26" s="275">
        <f t="shared" si="4"/>
        <v>22</v>
      </c>
      <c r="O26" s="464" t="s">
        <v>306</v>
      </c>
      <c r="P26" s="465" t="str">
        <f>C19</f>
        <v>ㆡ</v>
      </c>
      <c r="Q26" s="466" t="str">
        <f t="shared" si="0"/>
        <v>j</v>
      </c>
      <c r="R26" s="467" t="str">
        <f t="shared" si="1"/>
        <v>j</v>
      </c>
      <c r="T26" s="473">
        <f t="shared" si="2"/>
        <v>22</v>
      </c>
      <c r="U26" s="464">
        <v>9</v>
      </c>
      <c r="V26" s="465" t="str">
        <v>ㄞ</v>
      </c>
      <c r="W26" s="466" t="str">
        <v>ai</v>
      </c>
      <c r="X26" s="474" t="str">
        <v>I</v>
      </c>
    </row>
    <row r="27" spans="2:24">
      <c r="B27" s="490">
        <v>23</v>
      </c>
      <c r="C27" s="162" t="s">
        <v>322</v>
      </c>
      <c r="D27" s="121" t="s">
        <v>53</v>
      </c>
      <c r="E27" s="114" t="s">
        <v>53</v>
      </c>
      <c r="F27" s="278" t="s">
        <v>180</v>
      </c>
      <c r="H27" s="275">
        <f t="shared" si="3"/>
        <v>23</v>
      </c>
      <c r="I27" s="464" t="s">
        <v>129</v>
      </c>
      <c r="J27" s="465" t="s">
        <v>74</v>
      </c>
      <c r="K27" s="466" t="s">
        <v>805</v>
      </c>
      <c r="L27" s="468" t="s">
        <v>83</v>
      </c>
      <c r="N27" s="275">
        <f t="shared" si="4"/>
        <v>23</v>
      </c>
      <c r="O27" s="464" t="s">
        <v>763</v>
      </c>
      <c r="P27" s="465"/>
      <c r="Q27" s="466" t="str">
        <f t="shared" si="0"/>
        <v/>
      </c>
      <c r="R27" s="468" t="str">
        <f t="shared" si="1"/>
        <v/>
      </c>
      <c r="T27" s="473">
        <f t="shared" si="2"/>
        <v>23</v>
      </c>
      <c r="U27" s="464" t="str">
        <v>l</v>
      </c>
      <c r="V27" s="465" t="str">
        <v>ㄠ</v>
      </c>
      <c r="W27" s="466" t="str">
        <v>au</v>
      </c>
      <c r="X27" s="475" t="str">
        <v>U</v>
      </c>
    </row>
    <row r="28" spans="2:24">
      <c r="B28" s="173">
        <v>24</v>
      </c>
      <c r="C28" s="160" t="s">
        <v>54</v>
      </c>
      <c r="D28" s="119" t="s">
        <v>329</v>
      </c>
      <c r="E28" s="109" t="s">
        <v>57</v>
      </c>
      <c r="F28" s="110" t="s">
        <v>9</v>
      </c>
      <c r="H28" s="277">
        <f t="shared" si="3"/>
        <v>24</v>
      </c>
      <c r="I28" s="115" t="s">
        <v>199</v>
      </c>
      <c r="J28" s="162" t="s">
        <v>98</v>
      </c>
      <c r="K28" s="121" t="s">
        <v>99</v>
      </c>
      <c r="L28" s="469" t="s">
        <v>99</v>
      </c>
      <c r="N28" s="277">
        <f t="shared" si="4"/>
        <v>24</v>
      </c>
      <c r="O28" s="115" t="s">
        <v>692</v>
      </c>
      <c r="P28" s="162"/>
      <c r="Q28" s="121" t="str">
        <f t="shared" si="0"/>
        <v/>
      </c>
      <c r="R28" s="469" t="str">
        <f t="shared" si="1"/>
        <v/>
      </c>
      <c r="T28" s="473">
        <f t="shared" si="2"/>
        <v>24</v>
      </c>
      <c r="U28" s="464">
        <v>0</v>
      </c>
      <c r="V28" s="465" t="str">
        <v>ㄢ</v>
      </c>
      <c r="W28" s="466" t="str">
        <v>an</v>
      </c>
      <c r="X28" s="474" t="str">
        <v>L</v>
      </c>
    </row>
    <row r="29" spans="2:24">
      <c r="B29" s="173">
        <v>25</v>
      </c>
      <c r="C29" s="160" t="s">
        <v>81</v>
      </c>
      <c r="D29" s="119" t="s">
        <v>609</v>
      </c>
      <c r="E29" s="109" t="s">
        <v>24</v>
      </c>
      <c r="F29" s="110" t="s">
        <v>183</v>
      </c>
      <c r="H29" s="273">
        <f t="shared" si="3"/>
        <v>25</v>
      </c>
      <c r="I29" s="113">
        <v>7</v>
      </c>
      <c r="J29" s="161"/>
      <c r="K29" s="120">
        <v>8</v>
      </c>
      <c r="L29" s="463">
        <v>0</v>
      </c>
      <c r="N29" s="273">
        <f t="shared" si="4"/>
        <v>25</v>
      </c>
      <c r="O29" s="471" t="s">
        <v>920</v>
      </c>
      <c r="P29" s="161"/>
      <c r="Q29" s="120" t="str">
        <f t="shared" si="0"/>
        <v/>
      </c>
      <c r="R29" s="463" t="str">
        <f t="shared" si="1"/>
        <v/>
      </c>
      <c r="T29" s="473">
        <f t="shared" si="2"/>
        <v>25</v>
      </c>
      <c r="U29" s="464" t="str">
        <v>p</v>
      </c>
      <c r="V29" s="465" t="str">
        <v>ㄣ</v>
      </c>
      <c r="W29" s="466" t="str">
        <v>-n</v>
      </c>
      <c r="X29" s="474" t="str">
        <v>D</v>
      </c>
    </row>
    <row r="30" spans="2:24">
      <c r="B30" s="173">
        <v>26</v>
      </c>
      <c r="C30" s="160" t="s">
        <v>115</v>
      </c>
      <c r="D30" s="123" t="s">
        <v>314</v>
      </c>
      <c r="E30" s="109" t="s">
        <v>25</v>
      </c>
      <c r="F30" s="110" t="s">
        <v>184</v>
      </c>
      <c r="H30" s="275">
        <f t="shared" si="3"/>
        <v>26</v>
      </c>
      <c r="I30" s="464" t="s">
        <v>156</v>
      </c>
      <c r="J30" s="465" t="s">
        <v>48</v>
      </c>
      <c r="K30" s="466" t="s">
        <v>49</v>
      </c>
      <c r="L30" s="467" t="s">
        <v>49</v>
      </c>
      <c r="N30" s="275">
        <f t="shared" si="4"/>
        <v>26</v>
      </c>
      <c r="O30" s="464" t="s">
        <v>616</v>
      </c>
      <c r="P30" s="465" t="str">
        <f>C42</f>
        <v>ㆪ</v>
      </c>
      <c r="Q30" s="466" t="str">
        <f t="shared" si="0"/>
        <v>in</v>
      </c>
      <c r="R30" s="467" t="str">
        <f t="shared" si="1"/>
        <v>Z</v>
      </c>
      <c r="T30" s="473">
        <f t="shared" si="2"/>
        <v>26</v>
      </c>
      <c r="U30" s="464" t="str">
        <v>;</v>
      </c>
      <c r="V30" s="465" t="str">
        <v>ㄤ</v>
      </c>
      <c r="W30" s="466" t="str">
        <v>ang</v>
      </c>
      <c r="X30" s="474" t="str">
        <v>Q</v>
      </c>
    </row>
    <row r="31" spans="2:24">
      <c r="B31" s="173">
        <v>27</v>
      </c>
      <c r="C31" s="160" t="s">
        <v>22</v>
      </c>
      <c r="D31" s="119" t="s">
        <v>469</v>
      </c>
      <c r="E31" s="109" t="s">
        <v>31</v>
      </c>
      <c r="F31" s="110">
        <v>9</v>
      </c>
      <c r="H31" s="275">
        <f t="shared" si="3"/>
        <v>27</v>
      </c>
      <c r="I31" s="464" t="s">
        <v>134</v>
      </c>
      <c r="J31" s="465" t="s">
        <v>76</v>
      </c>
      <c r="K31" s="466" t="s">
        <v>77</v>
      </c>
      <c r="L31" s="468" t="s">
        <v>77</v>
      </c>
      <c r="N31" s="275">
        <f t="shared" si="4"/>
        <v>27</v>
      </c>
      <c r="O31" s="464" t="s">
        <v>742</v>
      </c>
      <c r="P31" s="465" t="str">
        <f>C43</f>
        <v>ㆫ</v>
      </c>
      <c r="Q31" s="466" t="str">
        <f t="shared" si="0"/>
        <v>un</v>
      </c>
      <c r="R31" s="468" t="str">
        <f t="shared" si="1"/>
        <v>X</v>
      </c>
      <c r="T31" s="473">
        <f t="shared" si="2"/>
        <v>27</v>
      </c>
      <c r="U31" s="464" t="str">
        <v>/</v>
      </c>
      <c r="V31" s="465" t="str">
        <v>ㄥ</v>
      </c>
      <c r="W31" s="466" t="str">
        <v>-ng</v>
      </c>
      <c r="X31" s="475" t="str">
        <v>W</v>
      </c>
    </row>
    <row r="32" spans="2:24">
      <c r="B32" s="173">
        <v>28</v>
      </c>
      <c r="C32" s="160" t="s">
        <v>23</v>
      </c>
      <c r="D32" s="119" t="s">
        <v>606</v>
      </c>
      <c r="E32" s="109" t="s">
        <v>63</v>
      </c>
      <c r="F32" s="110">
        <v>0</v>
      </c>
      <c r="H32" s="277">
        <f t="shared" si="3"/>
        <v>28</v>
      </c>
      <c r="I32" s="115" t="s">
        <v>124</v>
      </c>
      <c r="J32" s="162" t="s">
        <v>100</v>
      </c>
      <c r="K32" s="121" t="s">
        <v>904</v>
      </c>
      <c r="L32" s="469" t="s">
        <v>87</v>
      </c>
      <c r="N32" s="277">
        <f t="shared" si="4"/>
        <v>28</v>
      </c>
      <c r="O32" s="115" t="s">
        <v>721</v>
      </c>
      <c r="P32" s="162"/>
      <c r="Q32" s="121" t="str">
        <f t="shared" si="0"/>
        <v/>
      </c>
      <c r="R32" s="469" t="str">
        <f t="shared" si="1"/>
        <v/>
      </c>
      <c r="T32" s="473">
        <f t="shared" si="2"/>
        <v>28</v>
      </c>
      <c r="U32" s="464" t="str">
        <v>z</v>
      </c>
      <c r="V32" s="465" t="str">
        <v>声</v>
      </c>
      <c r="W32" s="466" t="str">
        <v>-nn</v>
      </c>
      <c r="X32" s="474" t="str">
        <v>A</v>
      </c>
    </row>
    <row r="33" spans="2:24">
      <c r="B33" s="173">
        <v>29</v>
      </c>
      <c r="C33" s="160" t="s">
        <v>80</v>
      </c>
      <c r="D33" s="119" t="s">
        <v>472</v>
      </c>
      <c r="E33" s="109" t="s">
        <v>30</v>
      </c>
      <c r="F33" s="110" t="s">
        <v>93</v>
      </c>
      <c r="H33" s="273">
        <f t="shared" si="3"/>
        <v>29</v>
      </c>
      <c r="I33" s="113">
        <v>8</v>
      </c>
      <c r="J33" s="161" t="s">
        <v>20</v>
      </c>
      <c r="K33" s="120" t="s">
        <v>21</v>
      </c>
      <c r="L33" s="463" t="s">
        <v>21</v>
      </c>
      <c r="N33" s="273">
        <f t="shared" si="4"/>
        <v>29</v>
      </c>
      <c r="O33" s="471" t="s">
        <v>743</v>
      </c>
      <c r="P33" s="161" t="str">
        <f>C44</f>
        <v>ㆩ</v>
      </c>
      <c r="Q33" s="120" t="str">
        <f t="shared" si="0"/>
        <v>an</v>
      </c>
      <c r="R33" s="463" t="str">
        <f t="shared" si="1"/>
        <v>R</v>
      </c>
      <c r="T33" s="473">
        <f t="shared" si="2"/>
        <v>29</v>
      </c>
      <c r="U33" s="498" t="str" cm="1">
        <f t="array" ref="U33:X42">_xlfn._xlws.FILTER(O5:R50, P5:P50&lt;&gt;"")</f>
        <v>!</v>
      </c>
      <c r="V33" s="496" t="str">
        <v>ㆠ</v>
      </c>
      <c r="W33" s="497" t="str">
        <v>b</v>
      </c>
      <c r="X33" s="499" t="str">
        <v>b</v>
      </c>
    </row>
    <row r="34" spans="2:24">
      <c r="B34" s="488">
        <v>30</v>
      </c>
      <c r="C34" s="161" t="s">
        <v>100</v>
      </c>
      <c r="D34" s="120" t="s">
        <v>904</v>
      </c>
      <c r="E34" s="112" t="s">
        <v>87</v>
      </c>
      <c r="F34" s="274" t="s">
        <v>66</v>
      </c>
      <c r="H34" s="275">
        <f t="shared" si="3"/>
        <v>30</v>
      </c>
      <c r="I34" s="464" t="s">
        <v>154</v>
      </c>
      <c r="J34" s="465" t="s">
        <v>50</v>
      </c>
      <c r="K34" s="466" t="s">
        <v>51</v>
      </c>
      <c r="L34" s="467" t="s">
        <v>32</v>
      </c>
      <c r="N34" s="275">
        <f t="shared" si="4"/>
        <v>30</v>
      </c>
      <c r="O34" s="464" t="s">
        <v>615</v>
      </c>
      <c r="P34" s="465" t="str">
        <f>C45</f>
        <v>ㆧ</v>
      </c>
      <c r="Q34" s="466" t="str">
        <f t="shared" si="0"/>
        <v>oon</v>
      </c>
      <c r="R34" s="467" t="str">
        <f t="shared" si="1"/>
        <v>S</v>
      </c>
      <c r="T34" s="473">
        <f t="shared" si="2"/>
        <v>30</v>
      </c>
      <c r="U34" s="495" t="str">
        <v>E</v>
      </c>
      <c r="V34" s="496" t="str">
        <v>ㆣ</v>
      </c>
      <c r="W34" s="497" t="str">
        <v>g</v>
      </c>
      <c r="X34" s="499" t="str">
        <v>g</v>
      </c>
    </row>
    <row r="35" spans="2:24">
      <c r="B35" s="490">
        <v>31</v>
      </c>
      <c r="C35" s="162" t="s">
        <v>72</v>
      </c>
      <c r="D35" s="121" t="s">
        <v>73</v>
      </c>
      <c r="E35" s="114" t="s">
        <v>170</v>
      </c>
      <c r="F35" s="278" t="s">
        <v>174</v>
      </c>
      <c r="H35" s="275">
        <f t="shared" si="3"/>
        <v>31</v>
      </c>
      <c r="I35" s="464" t="s">
        <v>201</v>
      </c>
      <c r="J35" s="465" t="s">
        <v>78</v>
      </c>
      <c r="K35" s="466" t="s">
        <v>79</v>
      </c>
      <c r="L35" s="468" t="s">
        <v>79</v>
      </c>
      <c r="N35" s="275">
        <f t="shared" si="4"/>
        <v>31</v>
      </c>
      <c r="O35" s="464" t="s">
        <v>339</v>
      </c>
      <c r="P35" s="465"/>
      <c r="Q35" s="466" t="str">
        <f t="shared" si="0"/>
        <v/>
      </c>
      <c r="R35" s="468" t="str">
        <f t="shared" si="1"/>
        <v/>
      </c>
      <c r="T35" s="473">
        <f t="shared" si="2"/>
        <v>31</v>
      </c>
      <c r="U35" s="498" t="str">
        <v>Y</v>
      </c>
      <c r="V35" s="496" t="str">
        <v>ㆡ</v>
      </c>
      <c r="W35" s="497" t="str">
        <v>j</v>
      </c>
      <c r="X35" s="499" t="str">
        <v>j</v>
      </c>
    </row>
    <row r="36" spans="2:24">
      <c r="B36" s="488">
        <v>32</v>
      </c>
      <c r="C36" s="161" t="s">
        <v>118</v>
      </c>
      <c r="D36" s="120" t="s">
        <v>905</v>
      </c>
      <c r="E36" s="112" t="s">
        <v>905</v>
      </c>
      <c r="F36" s="274" t="s">
        <v>905</v>
      </c>
      <c r="H36" s="277">
        <f t="shared" si="3"/>
        <v>32</v>
      </c>
      <c r="I36" s="115" t="s">
        <v>353</v>
      </c>
      <c r="J36" s="162" t="s">
        <v>322</v>
      </c>
      <c r="K36" s="121" t="s">
        <v>53</v>
      </c>
      <c r="L36" s="469" t="s">
        <v>53</v>
      </c>
      <c r="N36" s="277">
        <f t="shared" si="4"/>
        <v>32</v>
      </c>
      <c r="O36" s="115" t="s">
        <v>353</v>
      </c>
      <c r="P36" s="162" t="str">
        <f>C46</f>
        <v>ㆥ</v>
      </c>
      <c r="Q36" s="121" t="str">
        <f t="shared" si="0"/>
        <v>en</v>
      </c>
      <c r="R36" s="469" t="str">
        <f t="shared" si="1"/>
        <v>E</v>
      </c>
      <c r="T36" s="473">
        <f t="shared" si="2"/>
        <v>32</v>
      </c>
      <c r="U36" s="498" t="str">
        <v>U</v>
      </c>
      <c r="V36" s="496" t="str">
        <v>ㆪ</v>
      </c>
      <c r="W36" s="497" t="str">
        <v>in</v>
      </c>
      <c r="X36" s="499" t="str">
        <v>Z</v>
      </c>
    </row>
    <row r="37" spans="2:24">
      <c r="B37" s="489">
        <v>33</v>
      </c>
      <c r="C37" s="465" t="s">
        <v>18</v>
      </c>
      <c r="D37" s="466">
        <v>5</v>
      </c>
      <c r="E37" s="474">
        <v>5</v>
      </c>
      <c r="F37" s="276">
        <v>6</v>
      </c>
      <c r="H37" s="273">
        <f t="shared" si="3"/>
        <v>33</v>
      </c>
      <c r="I37" s="113">
        <v>9</v>
      </c>
      <c r="J37" s="161" t="s">
        <v>22</v>
      </c>
      <c r="K37" s="120" t="s">
        <v>469</v>
      </c>
      <c r="L37" s="463" t="s">
        <v>31</v>
      </c>
      <c r="N37" s="273">
        <f t="shared" si="4"/>
        <v>33</v>
      </c>
      <c r="O37" s="471" t="s">
        <v>732</v>
      </c>
      <c r="P37" s="161" t="str">
        <f>C47</f>
        <v>ㆮ</v>
      </c>
      <c r="Q37" s="120" t="str">
        <f t="shared" si="0"/>
        <v>ain</v>
      </c>
      <c r="R37" s="463" t="str">
        <f t="shared" si="1"/>
        <v>V</v>
      </c>
      <c r="T37" s="473">
        <f t="shared" si="2"/>
        <v>33</v>
      </c>
      <c r="U37" s="498" t="str">
        <v>J</v>
      </c>
      <c r="V37" s="496" t="str">
        <v>ㆫ</v>
      </c>
      <c r="W37" s="497" t="str">
        <v>un</v>
      </c>
      <c r="X37" s="499" t="str">
        <v>X</v>
      </c>
    </row>
    <row r="38" spans="2:24">
      <c r="B38" s="489">
        <v>34</v>
      </c>
      <c r="C38" s="465" t="s">
        <v>14</v>
      </c>
      <c r="D38" s="466">
        <v>2</v>
      </c>
      <c r="E38" s="474">
        <v>2</v>
      </c>
      <c r="F38" s="276">
        <v>4</v>
      </c>
      <c r="H38" s="275">
        <f t="shared" si="3"/>
        <v>34</v>
      </c>
      <c r="I38" s="464" t="s">
        <v>139</v>
      </c>
      <c r="J38" s="465" t="s">
        <v>905</v>
      </c>
      <c r="K38" s="466" t="s">
        <v>905</v>
      </c>
      <c r="L38" s="467" t="s">
        <v>905</v>
      </c>
      <c r="N38" s="275">
        <f t="shared" si="4"/>
        <v>34</v>
      </c>
      <c r="O38" s="464" t="s">
        <v>304</v>
      </c>
      <c r="P38" s="465"/>
      <c r="Q38" s="466" t="str">
        <f t="shared" si="0"/>
        <v/>
      </c>
      <c r="R38" s="467" t="str">
        <f t="shared" si="1"/>
        <v/>
      </c>
      <c r="T38" s="473">
        <f t="shared" si="2"/>
        <v>34</v>
      </c>
      <c r="U38" s="498" t="str">
        <v>*</v>
      </c>
      <c r="V38" s="496" t="str">
        <v>ㆩ</v>
      </c>
      <c r="W38" s="497" t="str">
        <v>an</v>
      </c>
      <c r="X38" s="499" t="str">
        <v>R</v>
      </c>
    </row>
    <row r="39" spans="2:24">
      <c r="B39" s="489">
        <v>35</v>
      </c>
      <c r="C39" s="465" t="s">
        <v>123</v>
      </c>
      <c r="D39" s="466" t="s">
        <v>905</v>
      </c>
      <c r="E39" s="474" t="s">
        <v>905</v>
      </c>
      <c r="F39" s="276" t="s">
        <v>905</v>
      </c>
      <c r="H39" s="275">
        <f t="shared" si="3"/>
        <v>35</v>
      </c>
      <c r="I39" s="464" t="s">
        <v>200</v>
      </c>
      <c r="J39" s="465" t="s">
        <v>80</v>
      </c>
      <c r="K39" s="466" t="s">
        <v>472</v>
      </c>
      <c r="L39" s="468" t="s">
        <v>30</v>
      </c>
      <c r="N39" s="275">
        <f t="shared" si="4"/>
        <v>35</v>
      </c>
      <c r="O39" s="464" t="s">
        <v>724</v>
      </c>
      <c r="P39" s="465" t="str">
        <f>C48</f>
        <v>ㆯ</v>
      </c>
      <c r="Q39" s="466" t="str">
        <f t="shared" si="0"/>
        <v>aun</v>
      </c>
      <c r="R39" s="468" t="str">
        <f t="shared" si="1"/>
        <v>F</v>
      </c>
      <c r="T39" s="473">
        <f t="shared" si="2"/>
        <v>35</v>
      </c>
      <c r="U39" s="498" t="str">
        <v>I</v>
      </c>
      <c r="V39" s="496" t="str">
        <v>ㆧ</v>
      </c>
      <c r="W39" s="497" t="str">
        <v>oon</v>
      </c>
      <c r="X39" s="499" t="str">
        <v>S</v>
      </c>
    </row>
    <row r="40" spans="2:24">
      <c r="B40" s="489">
        <v>36</v>
      </c>
      <c r="C40" s="465" t="s">
        <v>12</v>
      </c>
      <c r="D40" s="466">
        <v>3</v>
      </c>
      <c r="E40" s="474">
        <v>3</v>
      </c>
      <c r="F40" s="276">
        <v>3</v>
      </c>
      <c r="H40" s="277">
        <f t="shared" si="3"/>
        <v>36</v>
      </c>
      <c r="I40" s="115" t="s">
        <v>897</v>
      </c>
      <c r="J40" s="162" t="s">
        <v>905</v>
      </c>
      <c r="K40" s="121" t="s">
        <v>905</v>
      </c>
      <c r="L40" s="469" t="s">
        <v>905</v>
      </c>
      <c r="N40" s="277">
        <f t="shared" si="4"/>
        <v>36</v>
      </c>
      <c r="O40" s="115" t="s">
        <v>897</v>
      </c>
      <c r="P40" s="162"/>
      <c r="Q40" s="121" t="str">
        <f t="shared" si="0"/>
        <v/>
      </c>
      <c r="R40" s="469" t="str">
        <f t="shared" si="1"/>
        <v/>
      </c>
      <c r="T40" s="473">
        <f t="shared" si="2"/>
        <v>36</v>
      </c>
      <c r="U40" s="498" t="str">
        <v>,</v>
      </c>
      <c r="V40" s="496" t="str">
        <v>ㆥ</v>
      </c>
      <c r="W40" s="497" t="str">
        <v>en</v>
      </c>
      <c r="X40" s="499" t="str">
        <v>E</v>
      </c>
    </row>
    <row r="41" spans="2:24">
      <c r="B41" s="489">
        <v>37</v>
      </c>
      <c r="C41" s="465" t="s">
        <v>16</v>
      </c>
      <c r="D41" s="466">
        <v>7</v>
      </c>
      <c r="E41" s="474">
        <v>7</v>
      </c>
      <c r="F41" s="276">
        <v>5</v>
      </c>
      <c r="H41" s="273">
        <f t="shared" si="3"/>
        <v>37</v>
      </c>
      <c r="I41" s="113">
        <v>0</v>
      </c>
      <c r="J41" s="161" t="s">
        <v>23</v>
      </c>
      <c r="K41" s="120" t="s">
        <v>606</v>
      </c>
      <c r="L41" s="463" t="s">
        <v>63</v>
      </c>
      <c r="N41" s="273">
        <f t="shared" si="4"/>
        <v>37</v>
      </c>
      <c r="O41" s="471" t="s">
        <v>921</v>
      </c>
      <c r="P41" s="161"/>
      <c r="Q41" s="120" t="str">
        <f t="shared" si="0"/>
        <v/>
      </c>
      <c r="R41" s="463" t="str">
        <f t="shared" si="1"/>
        <v/>
      </c>
      <c r="T41" s="473">
        <f t="shared" si="2"/>
        <v>37</v>
      </c>
      <c r="U41" s="498" t="str">
        <v>(</v>
      </c>
      <c r="V41" s="496" t="str">
        <v>ㆮ</v>
      </c>
      <c r="W41" s="497" t="str">
        <v>ain</v>
      </c>
      <c r="X41" s="499" t="str">
        <v>V</v>
      </c>
    </row>
    <row r="42" spans="2:24">
      <c r="B42" s="488">
        <v>38</v>
      </c>
      <c r="C42" s="161" t="s">
        <v>116</v>
      </c>
      <c r="D42" s="120" t="s">
        <v>604</v>
      </c>
      <c r="E42" s="112" t="s">
        <v>804</v>
      </c>
      <c r="F42" s="274" t="s">
        <v>30</v>
      </c>
      <c r="H42" s="275">
        <f t="shared" si="3"/>
        <v>38</v>
      </c>
      <c r="I42" s="464" t="s">
        <v>196</v>
      </c>
      <c r="J42" s="465" t="s">
        <v>54</v>
      </c>
      <c r="K42" s="466" t="s">
        <v>329</v>
      </c>
      <c r="L42" s="467" t="s">
        <v>57</v>
      </c>
      <c r="N42" s="275">
        <f t="shared" si="4"/>
        <v>38</v>
      </c>
      <c r="O42" s="464" t="s">
        <v>337</v>
      </c>
      <c r="P42" s="465"/>
      <c r="Q42" s="466" t="str">
        <f t="shared" si="0"/>
        <v/>
      </c>
      <c r="R42" s="467" t="str">
        <f t="shared" si="1"/>
        <v/>
      </c>
      <c r="T42" s="473">
        <f t="shared" si="2"/>
        <v>38</v>
      </c>
      <c r="U42" s="498" t="str">
        <v>L</v>
      </c>
      <c r="V42" s="496" t="str">
        <v>ㆯ</v>
      </c>
      <c r="W42" s="497" t="str">
        <v>aun</v>
      </c>
      <c r="X42" s="499" t="str">
        <v>F</v>
      </c>
    </row>
    <row r="43" spans="2:24">
      <c r="B43" s="489">
        <v>39</v>
      </c>
      <c r="C43" s="465" t="s">
        <v>117</v>
      </c>
      <c r="D43" s="466" t="s">
        <v>605</v>
      </c>
      <c r="E43" s="474" t="s">
        <v>82</v>
      </c>
      <c r="F43" s="276" t="s">
        <v>61</v>
      </c>
      <c r="H43" s="275">
        <f t="shared" si="3"/>
        <v>39</v>
      </c>
      <c r="I43" s="464" t="s">
        <v>727</v>
      </c>
      <c r="J43" s="465" t="s">
        <v>81</v>
      </c>
      <c r="K43" s="466" t="s">
        <v>609</v>
      </c>
      <c r="L43" s="468" t="s">
        <v>24</v>
      </c>
      <c r="N43" s="275">
        <f t="shared" si="4"/>
        <v>39</v>
      </c>
      <c r="O43" s="472" t="s">
        <v>926</v>
      </c>
      <c r="P43" s="465"/>
      <c r="Q43" s="466" t="str">
        <f t="shared" si="0"/>
        <v/>
      </c>
      <c r="R43" s="468" t="str">
        <f t="shared" si="1"/>
        <v/>
      </c>
      <c r="T43" s="473">
        <f t="shared" si="2"/>
        <v>39</v>
      </c>
      <c r="U43" s="508" t="s">
        <v>776</v>
      </c>
      <c r="V43" s="509" t="s">
        <v>776</v>
      </c>
      <c r="W43" s="510">
        <v>1</v>
      </c>
      <c r="X43" s="511">
        <v>1</v>
      </c>
    </row>
    <row r="44" spans="2:24">
      <c r="B44" s="489">
        <v>40</v>
      </c>
      <c r="C44" s="465" t="s">
        <v>107</v>
      </c>
      <c r="D44" s="466" t="s">
        <v>606</v>
      </c>
      <c r="E44" s="474" t="s">
        <v>27</v>
      </c>
      <c r="F44" s="276" t="s">
        <v>177</v>
      </c>
      <c r="H44" s="275">
        <f t="shared" si="3"/>
        <v>40</v>
      </c>
      <c r="I44" s="472" t="s">
        <v>354</v>
      </c>
      <c r="J44" s="465" t="s">
        <v>115</v>
      </c>
      <c r="K44" s="466" t="s">
        <v>314</v>
      </c>
      <c r="L44" s="467" t="s">
        <v>25</v>
      </c>
      <c r="N44" s="275">
        <f t="shared" si="4"/>
        <v>40</v>
      </c>
      <c r="O44" s="472" t="s">
        <v>231</v>
      </c>
      <c r="P44" s="465"/>
      <c r="Q44" s="466" t="str">
        <f t="shared" si="0"/>
        <v/>
      </c>
      <c r="R44" s="467" t="str">
        <f t="shared" si="1"/>
        <v/>
      </c>
      <c r="T44" s="473">
        <f t="shared" si="2"/>
        <v>40</v>
      </c>
      <c r="U44" s="508">
        <v>3</v>
      </c>
      <c r="V44" s="509" t="s">
        <v>12</v>
      </c>
      <c r="W44" s="510">
        <v>3</v>
      </c>
      <c r="X44" s="511">
        <v>3</v>
      </c>
    </row>
    <row r="45" spans="2:24">
      <c r="B45" s="489">
        <v>41</v>
      </c>
      <c r="C45" s="465" t="s">
        <v>108</v>
      </c>
      <c r="D45" s="466" t="s">
        <v>906</v>
      </c>
      <c r="E45" s="474" t="s">
        <v>56</v>
      </c>
      <c r="F45" s="276" t="s">
        <v>31</v>
      </c>
      <c r="H45" s="275">
        <f t="shared" si="3"/>
        <v>41</v>
      </c>
      <c r="I45" s="472" t="s">
        <v>301</v>
      </c>
      <c r="J45" s="465" t="s">
        <v>911</v>
      </c>
      <c r="K45" s="466" t="s">
        <v>912</v>
      </c>
      <c r="L45" s="467" t="s">
        <v>806</v>
      </c>
      <c r="N45" s="275">
        <f t="shared" si="4"/>
        <v>41</v>
      </c>
      <c r="O45" s="472" t="s">
        <v>922</v>
      </c>
      <c r="P45" s="465"/>
      <c r="Q45" s="466" t="str">
        <f t="shared" si="0"/>
        <v/>
      </c>
      <c r="R45" s="467" t="str">
        <f t="shared" si="1"/>
        <v/>
      </c>
      <c r="T45" s="473">
        <f t="shared" si="2"/>
        <v>41</v>
      </c>
      <c r="U45" s="508">
        <v>4</v>
      </c>
      <c r="V45" s="509" t="s">
        <v>14</v>
      </c>
      <c r="W45" s="510">
        <v>2</v>
      </c>
      <c r="X45" s="511">
        <v>2</v>
      </c>
    </row>
    <row r="46" spans="2:24">
      <c r="B46" s="489">
        <v>42</v>
      </c>
      <c r="C46" s="465" t="s">
        <v>110</v>
      </c>
      <c r="D46" s="466" t="s">
        <v>907</v>
      </c>
      <c r="E46" s="474" t="s">
        <v>26</v>
      </c>
      <c r="F46" s="276" t="s">
        <v>181</v>
      </c>
      <c r="H46" s="275">
        <f t="shared" si="3"/>
        <v>42</v>
      </c>
      <c r="I46" s="464" t="s">
        <v>898</v>
      </c>
      <c r="J46" s="465" t="s">
        <v>905</v>
      </c>
      <c r="K46" s="466" t="s">
        <v>905</v>
      </c>
      <c r="L46" s="467" t="s">
        <v>905</v>
      </c>
      <c r="N46" s="275">
        <f t="shared" si="4"/>
        <v>42</v>
      </c>
      <c r="O46" s="472" t="s">
        <v>924</v>
      </c>
      <c r="P46" s="465"/>
      <c r="Q46" s="466" t="str">
        <f t="shared" si="0"/>
        <v/>
      </c>
      <c r="R46" s="467" t="str">
        <f t="shared" si="1"/>
        <v/>
      </c>
      <c r="T46" s="473">
        <f t="shared" si="2"/>
        <v>42</v>
      </c>
      <c r="U46" s="508">
        <v>5</v>
      </c>
      <c r="V46" s="509" t="s">
        <v>16</v>
      </c>
      <c r="W46" s="510">
        <v>7</v>
      </c>
      <c r="X46" s="511">
        <v>7</v>
      </c>
    </row>
    <row r="47" spans="2:24">
      <c r="B47" s="489">
        <v>43</v>
      </c>
      <c r="C47" s="465" t="s">
        <v>111</v>
      </c>
      <c r="D47" s="466" t="s">
        <v>908</v>
      </c>
      <c r="E47" s="474" t="s">
        <v>84</v>
      </c>
      <c r="F47" s="276" t="s">
        <v>179</v>
      </c>
      <c r="H47" s="275">
        <f t="shared" si="3"/>
        <v>43</v>
      </c>
      <c r="I47" s="472" t="s">
        <v>899</v>
      </c>
      <c r="J47" s="465" t="s">
        <v>905</v>
      </c>
      <c r="K47" s="466" t="s">
        <v>905</v>
      </c>
      <c r="L47" s="468" t="s">
        <v>905</v>
      </c>
      <c r="N47" s="275">
        <f t="shared" si="4"/>
        <v>43</v>
      </c>
      <c r="O47" s="472" t="s">
        <v>927</v>
      </c>
      <c r="P47" s="465"/>
      <c r="Q47" s="466" t="str">
        <f t="shared" si="0"/>
        <v/>
      </c>
      <c r="R47" s="468" t="str">
        <f t="shared" si="1"/>
        <v/>
      </c>
      <c r="T47" s="473">
        <f t="shared" si="2"/>
        <v>43</v>
      </c>
      <c r="U47" s="508">
        <v>6</v>
      </c>
      <c r="V47" s="509" t="s">
        <v>18</v>
      </c>
      <c r="W47" s="510">
        <v>5</v>
      </c>
      <c r="X47" s="511">
        <v>5</v>
      </c>
    </row>
    <row r="48" spans="2:24">
      <c r="B48" s="489">
        <v>44</v>
      </c>
      <c r="C48" s="465" t="s">
        <v>112</v>
      </c>
      <c r="D48" s="466" t="s">
        <v>909</v>
      </c>
      <c r="E48" s="474" t="s">
        <v>58</v>
      </c>
      <c r="F48" s="276" t="s">
        <v>63</v>
      </c>
      <c r="H48" s="275">
        <f t="shared" si="3"/>
        <v>44</v>
      </c>
      <c r="I48" s="472" t="s">
        <v>900</v>
      </c>
      <c r="J48" s="465" t="s">
        <v>905</v>
      </c>
      <c r="K48" s="466" t="s">
        <v>905</v>
      </c>
      <c r="L48" s="467" t="s">
        <v>905</v>
      </c>
      <c r="N48" s="275">
        <f t="shared" si="4"/>
        <v>44</v>
      </c>
      <c r="O48" s="472" t="s">
        <v>923</v>
      </c>
      <c r="P48" s="465"/>
      <c r="Q48" s="466" t="str">
        <f t="shared" si="0"/>
        <v/>
      </c>
      <c r="R48" s="467" t="str">
        <f t="shared" si="1"/>
        <v/>
      </c>
      <c r="T48" s="473">
        <f t="shared" si="2"/>
        <v>44</v>
      </c>
      <c r="U48" s="508">
        <v>7</v>
      </c>
      <c r="V48" s="509" t="s">
        <v>910</v>
      </c>
      <c r="W48" s="510">
        <v>8</v>
      </c>
      <c r="X48" s="511">
        <v>0</v>
      </c>
    </row>
    <row r="49" spans="2:18">
      <c r="B49" s="459">
        <v>45</v>
      </c>
      <c r="C49" s="465" t="s">
        <v>113</v>
      </c>
      <c r="D49" s="466" t="s">
        <v>600</v>
      </c>
      <c r="E49" s="474" t="s">
        <v>85</v>
      </c>
      <c r="F49" s="464" t="s">
        <v>174</v>
      </c>
      <c r="H49" s="275">
        <f t="shared" si="3"/>
        <v>45</v>
      </c>
      <c r="I49" s="472" t="s">
        <v>901</v>
      </c>
      <c r="J49" s="465" t="s">
        <v>905</v>
      </c>
      <c r="K49" s="466" t="s">
        <v>905</v>
      </c>
      <c r="L49" s="467" t="s">
        <v>905</v>
      </c>
      <c r="N49" s="275">
        <f t="shared" si="4"/>
        <v>45</v>
      </c>
      <c r="O49" s="472" t="s">
        <v>925</v>
      </c>
      <c r="P49" s="465"/>
      <c r="Q49" s="466" t="str">
        <f t="shared" si="0"/>
        <v/>
      </c>
      <c r="R49" s="467" t="str">
        <f t="shared" si="1"/>
        <v/>
      </c>
    </row>
    <row r="50" spans="2:18">
      <c r="B50" s="459">
        <v>46</v>
      </c>
      <c r="C50" s="465" t="s">
        <v>114</v>
      </c>
      <c r="D50" s="466" t="s">
        <v>603</v>
      </c>
      <c r="E50" s="474" t="s">
        <v>60</v>
      </c>
      <c r="F50" s="464" t="s">
        <v>173</v>
      </c>
      <c r="H50" s="277">
        <f t="shared" si="3"/>
        <v>46</v>
      </c>
      <c r="I50" s="470" t="s">
        <v>902</v>
      </c>
      <c r="J50" s="162" t="s">
        <v>905</v>
      </c>
      <c r="K50" s="121" t="s">
        <v>905</v>
      </c>
      <c r="L50" s="469" t="s">
        <v>905</v>
      </c>
      <c r="N50" s="277">
        <f t="shared" si="4"/>
        <v>46</v>
      </c>
      <c r="O50" s="470" t="s">
        <v>928</v>
      </c>
      <c r="P50" s="162"/>
      <c r="Q50" s="121" t="str">
        <f t="shared" si="0"/>
        <v/>
      </c>
      <c r="R50" s="469" t="str">
        <f t="shared" si="1"/>
        <v/>
      </c>
    </row>
    <row r="51" spans="2:18">
      <c r="B51" s="459">
        <v>47</v>
      </c>
      <c r="C51" s="465" t="s">
        <v>101</v>
      </c>
      <c r="D51" s="466" t="s">
        <v>612</v>
      </c>
      <c r="E51" s="474" t="s">
        <v>29</v>
      </c>
      <c r="F51" s="464" t="s">
        <v>172</v>
      </c>
      <c r="H51" s="473">
        <f t="shared" si="3"/>
        <v>47</v>
      </c>
      <c r="I51" s="464"/>
      <c r="J51" s="465"/>
      <c r="K51" s="466"/>
      <c r="L51" s="475"/>
      <c r="N51" s="473">
        <f t="shared" si="4"/>
        <v>47</v>
      </c>
      <c r="O51" s="464"/>
      <c r="P51" s="465"/>
      <c r="Q51" s="466" t="str">
        <f t="shared" si="0"/>
        <v/>
      </c>
      <c r="R51" s="475" t="str">
        <f t="shared" si="1"/>
        <v/>
      </c>
    </row>
    <row r="52" spans="2:18">
      <c r="B52" s="459">
        <v>48</v>
      </c>
      <c r="C52" s="465" t="s">
        <v>102</v>
      </c>
      <c r="D52" s="466" t="s">
        <v>905</v>
      </c>
      <c r="E52" s="474" t="s">
        <v>905</v>
      </c>
      <c r="F52" s="464" t="s">
        <v>905</v>
      </c>
      <c r="H52" s="473">
        <f t="shared" si="3"/>
        <v>48</v>
      </c>
      <c r="I52" s="464"/>
      <c r="J52" s="465"/>
      <c r="K52" s="466"/>
      <c r="L52" s="474"/>
      <c r="N52" s="473">
        <f t="shared" si="4"/>
        <v>48</v>
      </c>
      <c r="O52" s="464"/>
      <c r="P52" s="465"/>
      <c r="Q52" s="466" t="str">
        <f t="shared" si="0"/>
        <v/>
      </c>
      <c r="R52" s="474" t="str">
        <f t="shared" si="1"/>
        <v/>
      </c>
    </row>
    <row r="53" spans="2:18">
      <c r="B53" s="488">
        <v>49</v>
      </c>
      <c r="C53" s="161" t="s">
        <v>43</v>
      </c>
      <c r="D53" s="120"/>
      <c r="E53" s="112"/>
      <c r="F53" s="274"/>
      <c r="H53" s="473">
        <f t="shared" si="3"/>
        <v>49</v>
      </c>
      <c r="I53" s="464"/>
      <c r="J53" s="465"/>
      <c r="K53" s="466"/>
      <c r="L53" s="474"/>
      <c r="N53" s="473">
        <f t="shared" si="4"/>
        <v>49</v>
      </c>
      <c r="O53" s="464"/>
      <c r="P53" s="465"/>
      <c r="Q53" s="466" t="str">
        <f t="shared" si="0"/>
        <v/>
      </c>
      <c r="R53" s="474" t="str">
        <f t="shared" si="1"/>
        <v/>
      </c>
    </row>
    <row r="54" spans="2:18">
      <c r="B54" s="489">
        <v>50</v>
      </c>
      <c r="C54" s="465" t="s">
        <v>71</v>
      </c>
      <c r="D54" s="466"/>
      <c r="E54" s="474"/>
      <c r="F54" s="276"/>
      <c r="H54" s="473">
        <f t="shared" si="3"/>
        <v>50</v>
      </c>
      <c r="I54" s="464"/>
      <c r="J54" s="465"/>
      <c r="K54" s="466"/>
      <c r="L54" s="474"/>
      <c r="N54" s="473">
        <f t="shared" si="4"/>
        <v>50</v>
      </c>
      <c r="O54" s="464"/>
      <c r="P54" s="465"/>
      <c r="Q54" s="466" t="str">
        <f t="shared" si="0"/>
        <v/>
      </c>
      <c r="R54" s="474" t="str">
        <f t="shared" si="1"/>
        <v/>
      </c>
    </row>
    <row r="55" spans="2:18">
      <c r="B55" s="489">
        <v>51</v>
      </c>
      <c r="C55" s="465" t="s">
        <v>105</v>
      </c>
      <c r="D55" s="466"/>
      <c r="E55" s="474"/>
      <c r="F55" s="276"/>
      <c r="H55" s="473">
        <f t="shared" si="3"/>
        <v>51</v>
      </c>
      <c r="I55" s="464"/>
      <c r="J55" s="465"/>
      <c r="K55" s="466"/>
      <c r="L55" s="475"/>
      <c r="N55" s="473">
        <f t="shared" si="4"/>
        <v>51</v>
      </c>
      <c r="O55" s="464"/>
      <c r="P55" s="465"/>
      <c r="Q55" s="466" t="str">
        <f t="shared" si="0"/>
        <v/>
      </c>
      <c r="R55" s="475" t="str">
        <f t="shared" si="1"/>
        <v/>
      </c>
    </row>
    <row r="56" spans="2:18">
      <c r="B56" s="490">
        <v>52</v>
      </c>
      <c r="C56" s="162" t="s">
        <v>96</v>
      </c>
      <c r="D56" s="121"/>
      <c r="E56" s="114"/>
      <c r="F56" s="278"/>
      <c r="H56" s="473">
        <f t="shared" si="3"/>
        <v>52</v>
      </c>
      <c r="I56" s="464"/>
      <c r="J56" s="465"/>
      <c r="K56" s="466"/>
      <c r="L56" s="474"/>
      <c r="N56" s="473">
        <f t="shared" si="4"/>
        <v>52</v>
      </c>
      <c r="O56" s="464"/>
      <c r="P56" s="465"/>
      <c r="Q56" s="466" t="str">
        <f t="shared" si="0"/>
        <v/>
      </c>
      <c r="R56" s="474" t="str">
        <f t="shared" si="1"/>
        <v/>
      </c>
    </row>
    <row r="57" spans="2:18">
      <c r="B57" s="173">
        <v>53</v>
      </c>
      <c r="C57" s="160" t="s">
        <v>119</v>
      </c>
      <c r="D57" s="119"/>
      <c r="E57" s="109"/>
      <c r="F57" s="110"/>
      <c r="H57" s="473">
        <f t="shared" si="3"/>
        <v>53</v>
      </c>
      <c r="I57" s="464"/>
      <c r="J57" s="465"/>
      <c r="K57" s="466"/>
      <c r="L57" s="474"/>
      <c r="N57" s="473">
        <f t="shared" si="4"/>
        <v>53</v>
      </c>
      <c r="O57" s="464"/>
      <c r="P57" s="465"/>
      <c r="Q57" s="466" t="str">
        <f t="shared" si="0"/>
        <v/>
      </c>
      <c r="R57" s="474" t="str">
        <f t="shared" si="1"/>
        <v/>
      </c>
    </row>
    <row r="58" spans="2:18">
      <c r="B58" s="173">
        <v>54</v>
      </c>
      <c r="C58" s="160" t="s">
        <v>120</v>
      </c>
      <c r="D58" s="119"/>
      <c r="E58" s="109"/>
      <c r="F58" s="110"/>
      <c r="H58" s="473">
        <f t="shared" si="3"/>
        <v>54</v>
      </c>
      <c r="I58" s="464"/>
      <c r="J58" s="465"/>
      <c r="K58" s="466"/>
      <c r="L58" s="474"/>
      <c r="N58" s="473">
        <f t="shared" si="4"/>
        <v>54</v>
      </c>
      <c r="O58" s="464"/>
      <c r="P58" s="465"/>
      <c r="Q58" s="466" t="str">
        <f t="shared" si="0"/>
        <v/>
      </c>
      <c r="R58" s="474" t="str">
        <f t="shared" si="1"/>
        <v/>
      </c>
    </row>
    <row r="59" spans="2:18">
      <c r="B59" s="173">
        <v>55</v>
      </c>
      <c r="C59" s="160" t="s">
        <v>121</v>
      </c>
      <c r="D59" s="119"/>
      <c r="E59" s="109"/>
      <c r="F59" s="110"/>
      <c r="H59" s="473">
        <f t="shared" si="3"/>
        <v>55</v>
      </c>
      <c r="I59" s="464"/>
      <c r="J59" s="465"/>
      <c r="K59" s="466"/>
      <c r="L59" s="475"/>
      <c r="N59" s="473">
        <f t="shared" si="4"/>
        <v>55</v>
      </c>
      <c r="O59" s="464"/>
      <c r="P59" s="465"/>
      <c r="Q59" s="466" t="str">
        <f t="shared" si="0"/>
        <v/>
      </c>
      <c r="R59" s="475" t="str">
        <f t="shared" si="1"/>
        <v/>
      </c>
    </row>
    <row r="60" spans="2:18">
      <c r="B60" s="173">
        <f t="shared" ref="B60" si="5">B59+1</f>
        <v>56</v>
      </c>
      <c r="C60" s="160" t="s">
        <v>122</v>
      </c>
      <c r="D60" s="119"/>
      <c r="E60" s="109"/>
      <c r="F60" s="110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180" customWidth="1"/>
    <col min="2" max="2" width="3.796875" style="180" bestFit="1" customWidth="1"/>
    <col min="3" max="4" width="3.796875" style="180" customWidth="1"/>
    <col min="5" max="5" width="10" style="180" customWidth="1" outlineLevel="1"/>
    <col min="6" max="6" width="10.09765625" style="181" customWidth="1" outlineLevel="2"/>
    <col min="7" max="8" width="10.09765625" style="182" customWidth="1" outlineLevel="1"/>
    <col min="9" max="9" width="10.09765625" style="181" customWidth="1" outlineLevel="2"/>
    <col min="10" max="10" width="3.796875" style="180" customWidth="1" outlineLevel="1"/>
    <col min="11" max="11" width="3.796875" style="180" customWidth="1"/>
    <col min="12" max="12" width="10" style="180" bestFit="1" customWidth="1"/>
    <col min="13" max="13" width="10.09765625" style="180" customWidth="1"/>
    <col min="14" max="14" width="10.09765625" style="183" customWidth="1"/>
    <col min="15" max="16" width="3.796875" style="180" customWidth="1"/>
    <col min="17" max="17" width="10" style="180" bestFit="1" customWidth="1"/>
    <col min="18" max="18" width="10.09765625" style="181" customWidth="1"/>
    <col min="19" max="19" width="10.09765625" style="182" customWidth="1"/>
    <col min="20" max="22" width="8.796875" style="180"/>
    <col min="23" max="27" width="11.796875" style="180" customWidth="1"/>
    <col min="28" max="16384" width="8.796875" style="180"/>
  </cols>
  <sheetData>
    <row r="1" spans="1:27">
      <c r="E1" s="180" t="s">
        <v>618</v>
      </c>
      <c r="L1" s="180" t="s">
        <v>619</v>
      </c>
      <c r="Q1" s="180" t="s">
        <v>620</v>
      </c>
    </row>
    <row r="2" spans="1:27" ht="25.5">
      <c r="A2" s="180" t="s">
        <v>621</v>
      </c>
      <c r="F2" s="184" t="s">
        <v>622</v>
      </c>
      <c r="G2" s="184" t="s">
        <v>623</v>
      </c>
      <c r="H2" s="185" t="s">
        <v>624</v>
      </c>
      <c r="I2" s="184" t="s">
        <v>625</v>
      </c>
      <c r="M2" s="186" t="s">
        <v>623</v>
      </c>
      <c r="N2" s="187" t="s">
        <v>626</v>
      </c>
      <c r="R2" s="184" t="s">
        <v>624</v>
      </c>
      <c r="S2" s="185" t="s">
        <v>625</v>
      </c>
      <c r="W2" s="188" t="s">
        <v>450</v>
      </c>
      <c r="X2" s="188" t="s">
        <v>389</v>
      </c>
      <c r="Y2" s="188" t="s">
        <v>387</v>
      </c>
      <c r="Z2" s="188" t="s">
        <v>386</v>
      </c>
      <c r="AA2" s="188" t="s">
        <v>376</v>
      </c>
    </row>
    <row r="3" spans="1:27">
      <c r="A3" s="189" t="s">
        <v>627</v>
      </c>
      <c r="B3" s="180">
        <f xml:space="preserve"> LEN(A3)</f>
        <v>42</v>
      </c>
      <c r="E3" s="180">
        <v>1</v>
      </c>
      <c r="F3" s="190" t="str">
        <f t="shared" ref="F3:F44" si="0" xml:space="preserve"> IFERROR(  INDEX(拼音字母, MATCH(H3, 鍵盤位置, 0)), "")</f>
        <v>p</v>
      </c>
      <c r="G3" s="191" t="s">
        <v>9</v>
      </c>
      <c r="H3" s="192">
        <v>1</v>
      </c>
      <c r="I3" s="193" t="str">
        <f t="shared" ref="I3:I44" si="1" xml:space="preserve"> IFERROR(  INDEX(方音符號, MATCH($H3, 鍵盤位置, 0)), "")</f>
        <v>ㄅ</v>
      </c>
      <c r="L3" s="180">
        <v>1</v>
      </c>
      <c r="M3" s="194" t="str">
        <f t="shared" ref="M3:M28" si="2" xml:space="preserve"> MID($A$7, $E3, 1)</f>
        <v>p</v>
      </c>
      <c r="N3" s="194" t="str">
        <f t="shared" ref="N3:N28" si="3" xml:space="preserve"> MID($A$8, $E3, 1)</f>
        <v>ㄅ</v>
      </c>
      <c r="Q3" s="180">
        <v>1</v>
      </c>
      <c r="R3" s="195" t="str">
        <f t="shared" ref="R3:R43" si="4" xml:space="preserve"> MID($A$12, $E3, 1)</f>
        <v>1</v>
      </c>
      <c r="S3" s="195" t="str">
        <f t="shared" ref="S3:S43" si="5" xml:space="preserve"> MID($A$13, $E3, 1)</f>
        <v>ㄅ</v>
      </c>
      <c r="W3" s="183">
        <v>1</v>
      </c>
      <c r="X3" s="183" t="s">
        <v>8</v>
      </c>
      <c r="Y3" s="196" t="s">
        <v>9</v>
      </c>
      <c r="Z3" s="197" t="s">
        <v>9</v>
      </c>
      <c r="AA3" s="198" t="s">
        <v>407</v>
      </c>
    </row>
    <row r="4" spans="1:27">
      <c r="A4" s="189" t="s">
        <v>628</v>
      </c>
      <c r="B4" s="180">
        <f xml:space="preserve"> LEN(A4)</f>
        <v>42</v>
      </c>
      <c r="E4" s="180">
        <v>2</v>
      </c>
      <c r="F4" s="199" t="str">
        <f t="shared" si="0"/>
        <v>ph</v>
      </c>
      <c r="G4" s="200" t="s">
        <v>33</v>
      </c>
      <c r="H4" s="201" t="s">
        <v>164</v>
      </c>
      <c r="I4" s="202" t="str">
        <f t="shared" si="1"/>
        <v>ㄆ</v>
      </c>
      <c r="L4" s="180">
        <v>2</v>
      </c>
      <c r="M4" s="194" t="str">
        <f t="shared" si="2"/>
        <v>P</v>
      </c>
      <c r="N4" s="194" t="str">
        <f t="shared" si="3"/>
        <v>ㄆ</v>
      </c>
      <c r="Q4" s="180">
        <v>2</v>
      </c>
      <c r="R4" s="195" t="str">
        <f t="shared" si="4"/>
        <v>q</v>
      </c>
      <c r="S4" s="195" t="str">
        <f t="shared" si="5"/>
        <v>ㄆ</v>
      </c>
      <c r="W4" s="203" t="s">
        <v>629</v>
      </c>
      <c r="X4" s="183" t="s">
        <v>37</v>
      </c>
      <c r="Y4" s="196" t="s">
        <v>38</v>
      </c>
      <c r="Z4" s="197" t="s">
        <v>33</v>
      </c>
      <c r="AA4" s="198" t="s">
        <v>406</v>
      </c>
    </row>
    <row r="5" spans="1:27">
      <c r="E5" s="180">
        <v>3</v>
      </c>
      <c r="F5" s="199" t="str">
        <f t="shared" si="0"/>
        <v>m</v>
      </c>
      <c r="G5" s="200" t="s">
        <v>66</v>
      </c>
      <c r="H5" s="201" t="s">
        <v>21</v>
      </c>
      <c r="I5" s="202" t="str">
        <f t="shared" si="1"/>
        <v>ㄇ</v>
      </c>
      <c r="L5" s="180">
        <v>3</v>
      </c>
      <c r="M5" s="194" t="str">
        <f t="shared" si="2"/>
        <v>b</v>
      </c>
      <c r="N5" s="194" t="str">
        <f t="shared" si="3"/>
        <v>ㆠ</v>
      </c>
      <c r="Q5" s="180">
        <v>3</v>
      </c>
      <c r="R5" s="195" t="str">
        <f t="shared" si="4"/>
        <v>a</v>
      </c>
      <c r="S5" s="195" t="str">
        <f t="shared" si="5"/>
        <v>ㄇ</v>
      </c>
      <c r="W5" s="203" t="s">
        <v>630</v>
      </c>
      <c r="X5" s="183" t="s">
        <v>55</v>
      </c>
      <c r="Y5" s="196" t="s">
        <v>66</v>
      </c>
      <c r="Z5" s="197" t="s">
        <v>631</v>
      </c>
      <c r="AA5" s="198" t="s">
        <v>404</v>
      </c>
    </row>
    <row r="6" spans="1:27">
      <c r="A6" s="180" t="s">
        <v>632</v>
      </c>
      <c r="E6" s="180">
        <v>4</v>
      </c>
      <c r="F6" s="204" t="str">
        <f t="shared" si="0"/>
        <v>b</v>
      </c>
      <c r="G6" s="205" t="s">
        <v>91</v>
      </c>
      <c r="H6" s="206" t="s">
        <v>165</v>
      </c>
      <c r="I6" s="207" t="str">
        <f t="shared" si="1"/>
        <v>ㆠ</v>
      </c>
      <c r="L6" s="180">
        <v>4</v>
      </c>
      <c r="M6" s="194" t="str">
        <f t="shared" si="2"/>
        <v>t</v>
      </c>
      <c r="N6" s="194" t="str">
        <f t="shared" si="3"/>
        <v>ㄉ</v>
      </c>
      <c r="Q6" s="180">
        <v>4</v>
      </c>
      <c r="R6" s="195" t="str">
        <f t="shared" si="4"/>
        <v>z</v>
      </c>
      <c r="S6" s="195" t="str">
        <f t="shared" si="5"/>
        <v>ㆠ</v>
      </c>
      <c r="W6" s="208" t="s">
        <v>633</v>
      </c>
      <c r="X6" s="183" t="s">
        <v>90</v>
      </c>
      <c r="Y6" s="196" t="s">
        <v>91</v>
      </c>
      <c r="Z6" s="197" t="s">
        <v>91</v>
      </c>
      <c r="AA6" s="198" t="s">
        <v>405</v>
      </c>
    </row>
    <row r="7" spans="1:27">
      <c r="A7" s="189" t="s">
        <v>634</v>
      </c>
      <c r="B7" s="180">
        <f xml:space="preserve"> LEN(A7)</f>
        <v>26</v>
      </c>
      <c r="E7" s="180">
        <v>5</v>
      </c>
      <c r="F7" s="199" t="str">
        <f t="shared" si="0"/>
        <v>t</v>
      </c>
      <c r="G7" s="200" t="s">
        <v>11</v>
      </c>
      <c r="H7" s="201">
        <v>2</v>
      </c>
      <c r="I7" s="202" t="str">
        <f t="shared" si="1"/>
        <v>ㄉ</v>
      </c>
      <c r="L7" s="180">
        <v>5</v>
      </c>
      <c r="M7" s="194" t="str">
        <f t="shared" si="2"/>
        <v>T</v>
      </c>
      <c r="N7" s="194" t="str">
        <f t="shared" si="3"/>
        <v>ㄊ</v>
      </c>
      <c r="Q7" s="180">
        <v>5</v>
      </c>
      <c r="R7" s="195" t="str">
        <f t="shared" si="4"/>
        <v>2</v>
      </c>
      <c r="S7" s="195" t="str">
        <f t="shared" si="5"/>
        <v>ㄉ</v>
      </c>
      <c r="W7" s="183">
        <v>2</v>
      </c>
      <c r="X7" s="183" t="s">
        <v>10</v>
      </c>
      <c r="Y7" s="196" t="s">
        <v>11</v>
      </c>
      <c r="Z7" s="197" t="s">
        <v>11</v>
      </c>
      <c r="AA7" s="198" t="s">
        <v>403</v>
      </c>
    </row>
    <row r="8" spans="1:27">
      <c r="A8" s="189" t="s">
        <v>635</v>
      </c>
      <c r="B8" s="180">
        <f xml:space="preserve"> LEN(A8)</f>
        <v>26</v>
      </c>
      <c r="E8" s="180">
        <v>6</v>
      </c>
      <c r="F8" s="199" t="str">
        <f t="shared" si="0"/>
        <v>th</v>
      </c>
      <c r="G8" s="200" t="s">
        <v>28</v>
      </c>
      <c r="H8" s="201" t="s">
        <v>170</v>
      </c>
      <c r="I8" s="202" t="str">
        <f t="shared" si="1"/>
        <v>ㄊ</v>
      </c>
      <c r="L8" s="180">
        <v>6</v>
      </c>
      <c r="M8" s="194" t="str">
        <f t="shared" si="2"/>
        <v>d</v>
      </c>
      <c r="N8" s="194" t="str">
        <f t="shared" si="3"/>
        <v>ㄌ</v>
      </c>
      <c r="Q8" s="180">
        <v>6</v>
      </c>
      <c r="R8" s="195" t="str">
        <f t="shared" si="4"/>
        <v>w</v>
      </c>
      <c r="S8" s="195" t="str">
        <f t="shared" si="5"/>
        <v>ㄊ</v>
      </c>
      <c r="W8" s="203" t="s">
        <v>636</v>
      </c>
      <c r="X8" s="183" t="s">
        <v>39</v>
      </c>
      <c r="Y8" s="196" t="s">
        <v>40</v>
      </c>
      <c r="Z8" s="197" t="s">
        <v>28</v>
      </c>
      <c r="AA8" s="198" t="s">
        <v>402</v>
      </c>
    </row>
    <row r="9" spans="1:27">
      <c r="E9" s="180">
        <v>7</v>
      </c>
      <c r="F9" s="199" t="str">
        <f t="shared" si="0"/>
        <v>n</v>
      </c>
      <c r="G9" s="200" t="s">
        <v>68</v>
      </c>
      <c r="H9" s="201" t="s">
        <v>99</v>
      </c>
      <c r="I9" s="202" t="str">
        <f t="shared" si="1"/>
        <v>ㄋ</v>
      </c>
      <c r="L9" s="180">
        <v>7</v>
      </c>
      <c r="M9" s="194" t="str">
        <f t="shared" si="2"/>
        <v>k</v>
      </c>
      <c r="N9" s="194" t="str">
        <f t="shared" si="3"/>
        <v>ㄍ</v>
      </c>
      <c r="Q9" s="180">
        <v>7</v>
      </c>
      <c r="R9" s="195" t="str">
        <f t="shared" si="4"/>
        <v>s</v>
      </c>
      <c r="S9" s="195" t="str">
        <f t="shared" si="5"/>
        <v>ㄋ</v>
      </c>
      <c r="W9" s="203" t="s">
        <v>637</v>
      </c>
      <c r="X9" s="183" t="s">
        <v>67</v>
      </c>
      <c r="Y9" s="196" t="s">
        <v>68</v>
      </c>
      <c r="Z9" s="197" t="s">
        <v>638</v>
      </c>
      <c r="AA9" s="198" t="s">
        <v>401</v>
      </c>
    </row>
    <row r="10" spans="1:27">
      <c r="E10" s="180">
        <v>8</v>
      </c>
      <c r="F10" s="209" t="str">
        <f t="shared" si="0"/>
        <v>l</v>
      </c>
      <c r="G10" s="210" t="s">
        <v>163</v>
      </c>
      <c r="H10" s="211" t="s">
        <v>171</v>
      </c>
      <c r="I10" s="212" t="str">
        <f t="shared" si="1"/>
        <v>ㄌ</v>
      </c>
      <c r="L10" s="180">
        <v>8</v>
      </c>
      <c r="M10" s="194" t="str">
        <f t="shared" si="2"/>
        <v>K</v>
      </c>
      <c r="N10" s="194" t="str">
        <f t="shared" si="3"/>
        <v>ㄎ</v>
      </c>
      <c r="Q10" s="180">
        <v>8</v>
      </c>
      <c r="R10" s="195" t="str">
        <f t="shared" si="4"/>
        <v>x</v>
      </c>
      <c r="S10" s="195" t="str">
        <f t="shared" si="5"/>
        <v>ㄌ</v>
      </c>
      <c r="W10" s="203" t="s">
        <v>639</v>
      </c>
      <c r="X10" s="183" t="s">
        <v>92</v>
      </c>
      <c r="Y10" s="196" t="s">
        <v>93</v>
      </c>
      <c r="Z10" s="197" t="s">
        <v>163</v>
      </c>
      <c r="AA10" s="198" t="s">
        <v>400</v>
      </c>
    </row>
    <row r="11" spans="1:27">
      <c r="A11" s="180" t="s">
        <v>620</v>
      </c>
      <c r="E11" s="180">
        <v>9</v>
      </c>
      <c r="F11" s="190" t="str">
        <f t="shared" si="0"/>
        <v>k</v>
      </c>
      <c r="G11" s="191" t="s">
        <v>42</v>
      </c>
      <c r="H11" s="192" t="s">
        <v>53</v>
      </c>
      <c r="I11" s="213" t="str">
        <f t="shared" si="1"/>
        <v>ㄍ</v>
      </c>
      <c r="L11" s="180">
        <v>9</v>
      </c>
      <c r="M11" s="194" t="str">
        <f t="shared" si="2"/>
        <v>g</v>
      </c>
      <c r="N11" s="194" t="str">
        <f t="shared" si="3"/>
        <v>ㆣ</v>
      </c>
      <c r="Q11" s="180">
        <v>9</v>
      </c>
      <c r="R11" s="195" t="str">
        <f t="shared" si="4"/>
        <v>e</v>
      </c>
      <c r="S11" s="195" t="str">
        <f t="shared" si="5"/>
        <v>ㄍ</v>
      </c>
      <c r="W11" s="203" t="s">
        <v>640</v>
      </c>
      <c r="X11" s="183" t="s">
        <v>41</v>
      </c>
      <c r="Y11" s="196" t="s">
        <v>42</v>
      </c>
      <c r="Z11" s="197" t="s">
        <v>42</v>
      </c>
      <c r="AA11" s="198" t="s">
        <v>399</v>
      </c>
    </row>
    <row r="12" spans="1:27">
      <c r="A12" s="189" t="s">
        <v>641</v>
      </c>
      <c r="B12" s="180">
        <f xml:space="preserve"> LEN(A12)</f>
        <v>41</v>
      </c>
      <c r="E12" s="180">
        <v>10</v>
      </c>
      <c r="F12" s="199" t="str">
        <f t="shared" si="0"/>
        <v>kh</v>
      </c>
      <c r="G12" s="200" t="s">
        <v>62</v>
      </c>
      <c r="H12" s="201" t="s">
        <v>163</v>
      </c>
      <c r="I12" s="202" t="str">
        <f t="shared" si="1"/>
        <v>ㄎ</v>
      </c>
      <c r="L12" s="180">
        <v>10</v>
      </c>
      <c r="M12" s="214" t="str">
        <f t="shared" si="2"/>
        <v>c</v>
      </c>
      <c r="N12" s="214" t="str">
        <f t="shared" si="3"/>
        <v>ㄗ</v>
      </c>
      <c r="Q12" s="180">
        <v>10</v>
      </c>
      <c r="R12" s="195" t="str">
        <f t="shared" si="4"/>
        <v>d</v>
      </c>
      <c r="S12" s="195" t="str">
        <f t="shared" si="5"/>
        <v>ㄎ</v>
      </c>
      <c r="W12" s="203" t="s">
        <v>642</v>
      </c>
      <c r="X12" s="183" t="s">
        <v>69</v>
      </c>
      <c r="Y12" s="196" t="s">
        <v>70</v>
      </c>
      <c r="Z12" s="197" t="s">
        <v>62</v>
      </c>
      <c r="AA12" s="198" t="s">
        <v>398</v>
      </c>
    </row>
    <row r="13" spans="1:27">
      <c r="A13" s="232" t="s">
        <v>691</v>
      </c>
      <c r="B13" s="180">
        <f xml:space="preserve"> LEN(A13)</f>
        <v>41</v>
      </c>
      <c r="E13" s="180">
        <v>11</v>
      </c>
      <c r="F13" s="209" t="str">
        <f t="shared" si="0"/>
        <v>h</v>
      </c>
      <c r="G13" s="210" t="s">
        <v>95</v>
      </c>
      <c r="H13" s="211" t="s">
        <v>166</v>
      </c>
      <c r="I13" s="212" t="str">
        <f t="shared" si="1"/>
        <v>ㄏ</v>
      </c>
      <c r="L13" s="180">
        <v>11</v>
      </c>
      <c r="M13" s="214" t="str">
        <f t="shared" si="2"/>
        <v>C</v>
      </c>
      <c r="N13" s="214" t="str">
        <f t="shared" si="3"/>
        <v>ㄘ</v>
      </c>
      <c r="Q13" s="180">
        <v>11</v>
      </c>
      <c r="R13" s="195" t="str">
        <f t="shared" si="4"/>
        <v>c</v>
      </c>
      <c r="S13" s="195" t="str">
        <f t="shared" si="5"/>
        <v>ㄏ</v>
      </c>
      <c r="W13" s="203" t="s">
        <v>643</v>
      </c>
      <c r="X13" s="183" t="s">
        <v>94</v>
      </c>
      <c r="Y13" s="196" t="s">
        <v>95</v>
      </c>
      <c r="Z13" s="197" t="s">
        <v>95</v>
      </c>
      <c r="AA13" s="198" t="s">
        <v>395</v>
      </c>
    </row>
    <row r="14" spans="1:27">
      <c r="E14" s="180">
        <v>12</v>
      </c>
      <c r="F14" s="199" t="str">
        <f t="shared" si="0"/>
        <v>ci</v>
      </c>
      <c r="G14" s="191" t="s">
        <v>97</v>
      </c>
      <c r="H14" s="192" t="s">
        <v>172</v>
      </c>
      <c r="I14" s="213" t="str">
        <f t="shared" si="1"/>
        <v>ㄐ</v>
      </c>
      <c r="L14" s="180">
        <v>12</v>
      </c>
      <c r="M14" s="194" t="str">
        <f t="shared" si="2"/>
        <v>z</v>
      </c>
      <c r="N14" s="194" t="str">
        <f t="shared" si="3"/>
        <v>ㆡ</v>
      </c>
      <c r="Q14" s="180">
        <v>12</v>
      </c>
      <c r="R14" s="195" t="str">
        <f t="shared" si="4"/>
        <v>r</v>
      </c>
      <c r="S14" s="195" t="str">
        <f t="shared" si="5"/>
        <v>ㄐ</v>
      </c>
      <c r="W14" s="203" t="s">
        <v>644</v>
      </c>
      <c r="X14" s="183" t="s">
        <v>43</v>
      </c>
      <c r="Y14" s="196" t="s">
        <v>645</v>
      </c>
      <c r="Z14" s="197" t="s">
        <v>646</v>
      </c>
      <c r="AA14" s="198" t="s">
        <v>647</v>
      </c>
    </row>
    <row r="15" spans="1:27">
      <c r="E15" s="180">
        <v>13</v>
      </c>
      <c r="F15" s="199" t="str">
        <f t="shared" si="0"/>
        <v>chi</v>
      </c>
      <c r="G15" s="200" t="s">
        <v>61</v>
      </c>
      <c r="H15" s="201" t="s">
        <v>173</v>
      </c>
      <c r="I15" s="202" t="str">
        <f t="shared" si="1"/>
        <v>ㄑ</v>
      </c>
      <c r="L15" s="180">
        <v>13</v>
      </c>
      <c r="M15" s="194" t="str">
        <f t="shared" si="2"/>
        <v>s</v>
      </c>
      <c r="N15" s="194" t="str">
        <f t="shared" si="3"/>
        <v>ㄙ</v>
      </c>
      <c r="Q15" s="180">
        <v>13</v>
      </c>
      <c r="R15" s="195" t="str">
        <f t="shared" si="4"/>
        <v>f</v>
      </c>
      <c r="S15" s="195" t="str">
        <f t="shared" si="5"/>
        <v>ㄑ</v>
      </c>
      <c r="W15" s="203" t="s">
        <v>648</v>
      </c>
      <c r="X15" s="183" t="s">
        <v>71</v>
      </c>
      <c r="Y15" s="196" t="s">
        <v>649</v>
      </c>
      <c r="Z15" s="197" t="s">
        <v>650</v>
      </c>
      <c r="AA15" s="198" t="s">
        <v>651</v>
      </c>
    </row>
    <row r="16" spans="1:27">
      <c r="E16" s="180">
        <v>14</v>
      </c>
      <c r="F16" s="204" t="str">
        <f t="shared" si="0"/>
        <v>si</v>
      </c>
      <c r="G16" s="205" t="s">
        <v>56</v>
      </c>
      <c r="H16" s="206" t="s">
        <v>174</v>
      </c>
      <c r="I16" s="207" t="str">
        <f t="shared" si="1"/>
        <v>ㄒ</v>
      </c>
      <c r="L16" s="180">
        <v>14</v>
      </c>
      <c r="M16" s="194" t="str">
        <f t="shared" si="2"/>
        <v>h</v>
      </c>
      <c r="N16" s="194" t="str">
        <f t="shared" si="3"/>
        <v>ㄏ</v>
      </c>
      <c r="Q16" s="180">
        <v>14</v>
      </c>
      <c r="R16" s="195" t="str">
        <f t="shared" si="4"/>
        <v>v</v>
      </c>
      <c r="S16" s="195" t="str">
        <f t="shared" si="5"/>
        <v>ㄒ</v>
      </c>
      <c r="W16" s="203" t="s">
        <v>652</v>
      </c>
      <c r="X16" s="183" t="s">
        <v>96</v>
      </c>
      <c r="Y16" s="196" t="s">
        <v>653</v>
      </c>
      <c r="Z16" s="197" t="s">
        <v>653</v>
      </c>
      <c r="AA16" s="198" t="s">
        <v>654</v>
      </c>
    </row>
    <row r="17" spans="5:27">
      <c r="E17" s="180">
        <v>15</v>
      </c>
      <c r="F17" s="190" t="str">
        <f t="shared" si="0"/>
        <v>g</v>
      </c>
      <c r="G17" s="191" t="s">
        <v>45</v>
      </c>
      <c r="H17" s="192" t="s">
        <v>11</v>
      </c>
      <c r="I17" s="213" t="str">
        <f t="shared" si="1"/>
        <v>ㆣ</v>
      </c>
      <c r="L17" s="180">
        <v>15</v>
      </c>
      <c r="M17" s="194" t="str">
        <f t="shared" si="2"/>
        <v>i</v>
      </c>
      <c r="N17" s="194" t="str">
        <f t="shared" si="3"/>
        <v>ㄧ</v>
      </c>
      <c r="Q17" s="180">
        <v>15</v>
      </c>
      <c r="R17" s="195" t="str">
        <f t="shared" si="4"/>
        <v>t</v>
      </c>
      <c r="S17" s="195" t="str">
        <f t="shared" si="5"/>
        <v>ㆣ</v>
      </c>
      <c r="W17" s="208" t="s">
        <v>655</v>
      </c>
      <c r="X17" s="183" t="s">
        <v>44</v>
      </c>
      <c r="Y17" s="196" t="s">
        <v>45</v>
      </c>
      <c r="Z17" s="197" t="s">
        <v>45</v>
      </c>
      <c r="AA17" s="198" t="s">
        <v>397</v>
      </c>
    </row>
    <row r="18" spans="5:27">
      <c r="E18" s="180">
        <v>16</v>
      </c>
      <c r="F18" s="199" t="str">
        <f t="shared" si="0"/>
        <v>ng</v>
      </c>
      <c r="G18" s="200" t="s">
        <v>164</v>
      </c>
      <c r="H18" s="201" t="s">
        <v>45</v>
      </c>
      <c r="I18" s="202" t="str">
        <f t="shared" si="1"/>
        <v>ㄫ</v>
      </c>
      <c r="L18" s="180">
        <v>16</v>
      </c>
      <c r="M18" s="194" t="str">
        <f t="shared" si="2"/>
        <v>u</v>
      </c>
      <c r="N18" s="194" t="str">
        <f t="shared" si="3"/>
        <v>ㄨ</v>
      </c>
      <c r="Q18" s="180">
        <v>16</v>
      </c>
      <c r="R18" s="195" t="str">
        <f t="shared" si="4"/>
        <v>g</v>
      </c>
      <c r="S18" s="195" t="str">
        <f t="shared" si="5"/>
        <v>ㄫ</v>
      </c>
      <c r="W18" s="208" t="s">
        <v>656</v>
      </c>
      <c r="X18" s="183" t="s">
        <v>72</v>
      </c>
      <c r="Y18" s="196" t="s">
        <v>73</v>
      </c>
      <c r="Z18" s="197" t="s">
        <v>657</v>
      </c>
      <c r="AA18" s="198" t="s">
        <v>396</v>
      </c>
    </row>
    <row r="19" spans="5:27">
      <c r="E19" s="180">
        <v>17</v>
      </c>
      <c r="F19" s="204" t="str">
        <f t="shared" si="0"/>
        <v>ji</v>
      </c>
      <c r="G19" s="205" t="s">
        <v>165</v>
      </c>
      <c r="H19" s="206" t="s">
        <v>91</v>
      </c>
      <c r="I19" s="207" t="str">
        <f t="shared" si="1"/>
        <v>ㆢ</v>
      </c>
      <c r="L19" s="180">
        <v>17</v>
      </c>
      <c r="M19" s="194" t="str">
        <f t="shared" si="2"/>
        <v>a</v>
      </c>
      <c r="N19" s="194" t="str">
        <f t="shared" si="3"/>
        <v>ㄚ</v>
      </c>
      <c r="Q19" s="180">
        <v>17</v>
      </c>
      <c r="R19" s="195" t="str">
        <f t="shared" si="4"/>
        <v>b</v>
      </c>
      <c r="S19" s="195" t="str">
        <f t="shared" si="5"/>
        <v>ㆡ</v>
      </c>
      <c r="W19" s="208" t="s">
        <v>658</v>
      </c>
      <c r="X19" s="183" t="s">
        <v>105</v>
      </c>
      <c r="Y19" s="196" t="s">
        <v>308</v>
      </c>
      <c r="Z19" s="197" t="s">
        <v>659</v>
      </c>
      <c r="AA19" s="198" t="s">
        <v>660</v>
      </c>
    </row>
    <row r="20" spans="5:27">
      <c r="E20" s="180">
        <v>18</v>
      </c>
      <c r="F20" s="215" t="str">
        <f t="shared" si="0"/>
        <v>c</v>
      </c>
      <c r="G20" s="216" t="s">
        <v>166</v>
      </c>
      <c r="H20" s="217" t="s">
        <v>175</v>
      </c>
      <c r="I20" s="218" t="str">
        <f t="shared" si="1"/>
        <v>ㄗ</v>
      </c>
      <c r="L20" s="180">
        <v>18</v>
      </c>
      <c r="M20" s="194" t="str">
        <f t="shared" si="2"/>
        <v>o</v>
      </c>
      <c r="N20" s="194" t="str">
        <f t="shared" si="3"/>
        <v>ㆦ</v>
      </c>
      <c r="Q20" s="180">
        <v>18</v>
      </c>
      <c r="R20" s="219" t="str">
        <f t="shared" si="4"/>
        <v>y</v>
      </c>
      <c r="S20" s="219" t="str">
        <f t="shared" si="5"/>
        <v>ㄗ</v>
      </c>
      <c r="W20" s="208" t="s">
        <v>658</v>
      </c>
      <c r="X20" s="183" t="s">
        <v>106</v>
      </c>
      <c r="Y20" s="196" t="s">
        <v>308</v>
      </c>
      <c r="Z20" s="197" t="s">
        <v>165</v>
      </c>
      <c r="AA20" s="198" t="s">
        <v>392</v>
      </c>
    </row>
    <row r="21" spans="5:27">
      <c r="E21" s="180">
        <v>19</v>
      </c>
      <c r="F21" s="220" t="str">
        <f t="shared" si="0"/>
        <v>ch</v>
      </c>
      <c r="G21" s="221" t="s">
        <v>83</v>
      </c>
      <c r="H21" s="222" t="s">
        <v>95</v>
      </c>
      <c r="I21" s="223" t="str">
        <f t="shared" si="1"/>
        <v>ㄘ</v>
      </c>
      <c r="L21" s="180">
        <v>19</v>
      </c>
      <c r="M21" s="194" t="str">
        <f t="shared" si="2"/>
        <v>ø</v>
      </c>
      <c r="N21" s="194" t="str">
        <f t="shared" si="3"/>
        <v>ㄜ</v>
      </c>
      <c r="Q21" s="180">
        <v>19</v>
      </c>
      <c r="R21" s="219" t="str">
        <f t="shared" si="4"/>
        <v>h</v>
      </c>
      <c r="S21" s="219" t="str">
        <f t="shared" si="5"/>
        <v>ㄘ</v>
      </c>
      <c r="W21" s="203" t="s">
        <v>661</v>
      </c>
      <c r="X21" s="183" t="s">
        <v>46</v>
      </c>
      <c r="Y21" s="196" t="s">
        <v>643</v>
      </c>
      <c r="Z21" s="197" t="s">
        <v>166</v>
      </c>
      <c r="AA21" s="198" t="s">
        <v>394</v>
      </c>
    </row>
    <row r="22" spans="5:27">
      <c r="E22" s="180">
        <v>20</v>
      </c>
      <c r="F22" s="204" t="str">
        <f t="shared" si="0"/>
        <v>s</v>
      </c>
      <c r="G22" s="205" t="s">
        <v>99</v>
      </c>
      <c r="H22" s="206" t="s">
        <v>68</v>
      </c>
      <c r="I22" s="207" t="str">
        <f t="shared" si="1"/>
        <v>ㄙ</v>
      </c>
      <c r="L22" s="180">
        <v>20</v>
      </c>
      <c r="M22" s="194" t="str">
        <f t="shared" si="2"/>
        <v>e</v>
      </c>
      <c r="N22" s="194" t="str">
        <f t="shared" si="3"/>
        <v>ㆤ</v>
      </c>
      <c r="Q22" s="180">
        <v>20</v>
      </c>
      <c r="R22" s="195" t="str">
        <f t="shared" si="4"/>
        <v>n</v>
      </c>
      <c r="S22" s="195" t="str">
        <f t="shared" si="5"/>
        <v>ㄙ</v>
      </c>
      <c r="W22" s="203" t="s">
        <v>662</v>
      </c>
      <c r="X22" s="183" t="s">
        <v>74</v>
      </c>
      <c r="Y22" s="196" t="s">
        <v>663</v>
      </c>
      <c r="Z22" s="197" t="s">
        <v>83</v>
      </c>
      <c r="AA22" s="198" t="s">
        <v>393</v>
      </c>
    </row>
    <row r="23" spans="5:27">
      <c r="E23" s="180">
        <v>21</v>
      </c>
      <c r="F23" s="224" t="str">
        <f t="shared" si="0"/>
        <v>i</v>
      </c>
      <c r="G23" s="225" t="s">
        <v>49</v>
      </c>
      <c r="H23" s="225" t="s">
        <v>77</v>
      </c>
      <c r="I23" s="226" t="str">
        <f t="shared" si="1"/>
        <v>ㄧ</v>
      </c>
      <c r="L23" s="180">
        <v>21</v>
      </c>
      <c r="M23" s="194" t="str">
        <f t="shared" si="2"/>
        <v>I</v>
      </c>
      <c r="N23" s="194" t="str">
        <f t="shared" si="3"/>
        <v>ㄞ</v>
      </c>
      <c r="Q23" s="180">
        <v>21</v>
      </c>
      <c r="R23" s="195" t="str">
        <f t="shared" si="4"/>
        <v>u</v>
      </c>
      <c r="S23" s="195" t="str">
        <f t="shared" si="5"/>
        <v>ㄧ</v>
      </c>
      <c r="W23" s="203" t="s">
        <v>664</v>
      </c>
      <c r="X23" s="183" t="s">
        <v>98</v>
      </c>
      <c r="Y23" s="196" t="s">
        <v>99</v>
      </c>
      <c r="Z23" s="197" t="s">
        <v>99</v>
      </c>
      <c r="AA23" s="198" t="s">
        <v>391</v>
      </c>
    </row>
    <row r="24" spans="5:27">
      <c r="E24" s="180">
        <v>22</v>
      </c>
      <c r="F24" s="224" t="str">
        <f t="shared" si="0"/>
        <v>u</v>
      </c>
      <c r="G24" s="225" t="s">
        <v>77</v>
      </c>
      <c r="H24" s="225" t="s">
        <v>97</v>
      </c>
      <c r="I24" s="226" t="str">
        <f t="shared" si="1"/>
        <v>ㄨ</v>
      </c>
      <c r="L24" s="180">
        <v>22</v>
      </c>
      <c r="M24" s="194" t="str">
        <f t="shared" si="2"/>
        <v>U</v>
      </c>
      <c r="N24" s="194" t="str">
        <f t="shared" si="3"/>
        <v>ㄠ</v>
      </c>
      <c r="Q24" s="180">
        <v>22</v>
      </c>
      <c r="R24" s="195" t="str">
        <f t="shared" si="4"/>
        <v>j</v>
      </c>
      <c r="S24" s="195" t="str">
        <f t="shared" si="5"/>
        <v>ㄨ</v>
      </c>
      <c r="W24" s="203" t="s">
        <v>665</v>
      </c>
      <c r="X24" s="183" t="s">
        <v>48</v>
      </c>
      <c r="Y24" s="227" t="s">
        <v>49</v>
      </c>
      <c r="Z24" s="228" t="s">
        <v>49</v>
      </c>
      <c r="AA24" s="229" t="s">
        <v>373</v>
      </c>
    </row>
    <row r="25" spans="5:27">
      <c r="E25" s="180">
        <v>23</v>
      </c>
      <c r="F25" s="224" t="str">
        <f t="shared" si="0"/>
        <v>m</v>
      </c>
      <c r="G25" s="225" t="s">
        <v>85</v>
      </c>
      <c r="H25" s="225" t="s">
        <v>66</v>
      </c>
      <c r="I25" s="226" t="str">
        <f t="shared" si="1"/>
        <v>ㆬ</v>
      </c>
      <c r="L25" s="180">
        <v>23</v>
      </c>
      <c r="M25" s="194" t="str">
        <f t="shared" si="2"/>
        <v>B</v>
      </c>
      <c r="N25" s="194" t="str">
        <f t="shared" si="3"/>
        <v>ㆬ</v>
      </c>
      <c r="Q25" s="180">
        <v>23</v>
      </c>
      <c r="R25" s="195" t="str">
        <f t="shared" si="4"/>
        <v>m</v>
      </c>
      <c r="S25" s="195" t="str">
        <f t="shared" si="5"/>
        <v>ㆬ</v>
      </c>
      <c r="W25" s="203" t="s">
        <v>666</v>
      </c>
      <c r="X25" s="183" t="s">
        <v>76</v>
      </c>
      <c r="Y25" s="227" t="s">
        <v>77</v>
      </c>
      <c r="Z25" s="228" t="s">
        <v>77</v>
      </c>
      <c r="AA25" s="229" t="s">
        <v>371</v>
      </c>
    </row>
    <row r="26" spans="5:27">
      <c r="E26" s="180">
        <v>24</v>
      </c>
      <c r="F26" s="224" t="str">
        <f t="shared" si="0"/>
        <v/>
      </c>
      <c r="G26" s="225" t="s">
        <v>21</v>
      </c>
      <c r="H26" s="225" t="s">
        <v>176</v>
      </c>
      <c r="I26" s="226" t="str">
        <f t="shared" si="1"/>
        <v/>
      </c>
      <c r="L26" s="180">
        <v>24</v>
      </c>
      <c r="M26" s="194" t="str">
        <f t="shared" si="2"/>
        <v>D</v>
      </c>
      <c r="N26" s="194" t="str">
        <f t="shared" si="3"/>
        <v>ㄣ</v>
      </c>
      <c r="Q26" s="180">
        <v>24</v>
      </c>
      <c r="R26" s="195" t="str">
        <f t="shared" si="4"/>
        <v>8</v>
      </c>
      <c r="S26" s="195" t="str">
        <f t="shared" si="5"/>
        <v>ㄚ</v>
      </c>
      <c r="W26" s="203" t="s">
        <v>667</v>
      </c>
      <c r="X26" s="183" t="s">
        <v>100</v>
      </c>
      <c r="Y26" s="227" t="s">
        <v>66</v>
      </c>
      <c r="Z26" s="228" t="s">
        <v>85</v>
      </c>
      <c r="AA26" s="229" t="s">
        <v>365</v>
      </c>
    </row>
    <row r="27" spans="5:27">
      <c r="E27" s="180">
        <v>25</v>
      </c>
      <c r="F27" s="224" t="str">
        <f t="shared" si="0"/>
        <v>oo</v>
      </c>
      <c r="G27" s="225" t="s">
        <v>79</v>
      </c>
      <c r="H27" s="225" t="s">
        <v>49</v>
      </c>
      <c r="I27" s="226" t="str">
        <f t="shared" si="1"/>
        <v>ㆦ</v>
      </c>
      <c r="L27" s="180">
        <v>25</v>
      </c>
      <c r="M27" s="194" t="str">
        <f t="shared" si="2"/>
        <v>G</v>
      </c>
      <c r="N27" s="194" t="str">
        <f t="shared" si="3"/>
        <v>ㆭ</v>
      </c>
      <c r="Q27" s="180">
        <v>25</v>
      </c>
      <c r="R27" s="195" t="str">
        <f t="shared" si="4"/>
        <v>i</v>
      </c>
      <c r="S27" s="195" t="str">
        <f t="shared" si="5"/>
        <v>ㆦ</v>
      </c>
      <c r="W27" s="183">
        <v>8</v>
      </c>
      <c r="X27" s="183" t="s">
        <v>20</v>
      </c>
      <c r="Y27" s="227" t="s">
        <v>21</v>
      </c>
      <c r="Z27" s="228" t="s">
        <v>21</v>
      </c>
      <c r="AA27" s="229" t="s">
        <v>375</v>
      </c>
    </row>
    <row r="28" spans="5:27">
      <c r="E28" s="180">
        <v>26</v>
      </c>
      <c r="F28" s="224" t="str">
        <f t="shared" si="0"/>
        <v>o</v>
      </c>
      <c r="G28" s="225" t="s">
        <v>668</v>
      </c>
      <c r="H28" s="225" t="s">
        <v>42</v>
      </c>
      <c r="I28" s="226" t="str">
        <f t="shared" si="1"/>
        <v>ㄜ</v>
      </c>
      <c r="L28" s="180">
        <v>26</v>
      </c>
      <c r="M28" s="194" t="str">
        <f t="shared" si="2"/>
        <v>N</v>
      </c>
      <c r="N28" s="194" t="str">
        <f t="shared" si="3"/>
        <v>ｎ</v>
      </c>
      <c r="Q28" s="180">
        <v>26</v>
      </c>
      <c r="R28" s="195" t="str">
        <f t="shared" si="4"/>
        <v>k</v>
      </c>
      <c r="S28" s="195" t="str">
        <f t="shared" si="5"/>
        <v>ㄜ</v>
      </c>
      <c r="W28" s="203" t="s">
        <v>669</v>
      </c>
      <c r="X28" s="183" t="s">
        <v>50</v>
      </c>
      <c r="Y28" s="227" t="s">
        <v>51</v>
      </c>
      <c r="Z28" s="228" t="s">
        <v>79</v>
      </c>
      <c r="AA28" s="229" t="s">
        <v>368</v>
      </c>
    </row>
    <row r="29" spans="5:27">
      <c r="E29" s="180">
        <v>27</v>
      </c>
      <c r="F29" s="224" t="str">
        <f t="shared" si="0"/>
        <v>am</v>
      </c>
      <c r="G29" s="225" t="s">
        <v>87</v>
      </c>
      <c r="H29" s="225" t="s">
        <v>180</v>
      </c>
      <c r="I29" s="226" t="str">
        <f t="shared" si="1"/>
        <v>ㆰ</v>
      </c>
      <c r="N29" s="180"/>
      <c r="Q29" s="180">
        <v>27</v>
      </c>
      <c r="R29" s="195" t="str">
        <f t="shared" si="4"/>
        <v>,</v>
      </c>
      <c r="S29" s="195" t="str">
        <f t="shared" si="5"/>
        <v>ㆰ</v>
      </c>
      <c r="W29" s="203" t="s">
        <v>670</v>
      </c>
      <c r="X29" s="183" t="s">
        <v>78</v>
      </c>
      <c r="Y29" s="227" t="s">
        <v>79</v>
      </c>
      <c r="Z29" s="228" t="s">
        <v>668</v>
      </c>
      <c r="AA29" s="229" t="s">
        <v>366</v>
      </c>
    </row>
    <row r="30" spans="5:27">
      <c r="E30" s="180">
        <v>28</v>
      </c>
      <c r="F30" s="224" t="str">
        <f t="shared" si="0"/>
        <v/>
      </c>
      <c r="G30" s="225" t="s">
        <v>31</v>
      </c>
      <c r="H30" s="225" t="s">
        <v>178</v>
      </c>
      <c r="I30" s="226" t="str">
        <f t="shared" si="1"/>
        <v/>
      </c>
      <c r="N30" s="180"/>
      <c r="Q30" s="180">
        <v>28</v>
      </c>
      <c r="R30" s="195" t="str">
        <f t="shared" si="4"/>
        <v>9</v>
      </c>
      <c r="S30" s="195" t="str">
        <f t="shared" si="5"/>
        <v>ㄞ</v>
      </c>
      <c r="W30" s="203">
        <v>9</v>
      </c>
      <c r="X30" s="183" t="s">
        <v>22</v>
      </c>
      <c r="Y30" s="227" t="s">
        <v>469</v>
      </c>
      <c r="Z30" s="228" t="s">
        <v>31</v>
      </c>
      <c r="AA30" s="229" t="s">
        <v>671</v>
      </c>
    </row>
    <row r="31" spans="5:27">
      <c r="E31" s="180">
        <v>29</v>
      </c>
      <c r="F31" s="224" t="str">
        <f t="shared" si="0"/>
        <v>e</v>
      </c>
      <c r="G31" s="225" t="s">
        <v>53</v>
      </c>
      <c r="H31" s="225" t="s">
        <v>79</v>
      </c>
      <c r="I31" s="226" t="str">
        <f t="shared" si="1"/>
        <v>ㆤ</v>
      </c>
      <c r="N31" s="180"/>
      <c r="Q31" s="180">
        <v>29</v>
      </c>
      <c r="R31" s="195" t="str">
        <f t="shared" si="4"/>
        <v>o</v>
      </c>
      <c r="S31" s="195" t="str">
        <f t="shared" si="5"/>
        <v>ㆤ</v>
      </c>
      <c r="W31" s="203" t="s">
        <v>672</v>
      </c>
      <c r="X31" s="183" t="s">
        <v>52</v>
      </c>
      <c r="Y31" s="227" t="s">
        <v>53</v>
      </c>
      <c r="Z31" s="228" t="s">
        <v>53</v>
      </c>
      <c r="AA31" s="229" t="s">
        <v>362</v>
      </c>
    </row>
    <row r="32" spans="5:27">
      <c r="E32" s="180">
        <v>30</v>
      </c>
      <c r="F32" s="224" t="str">
        <f t="shared" si="0"/>
        <v>au</v>
      </c>
      <c r="G32" s="225" t="s">
        <v>30</v>
      </c>
      <c r="H32" s="225" t="s">
        <v>93</v>
      </c>
      <c r="I32" s="226" t="str">
        <f t="shared" si="1"/>
        <v>ㄠ</v>
      </c>
      <c r="N32" s="180"/>
      <c r="Q32" s="180">
        <v>30</v>
      </c>
      <c r="R32" s="195" t="str">
        <f t="shared" si="4"/>
        <v>l</v>
      </c>
      <c r="S32" s="195" t="str">
        <f t="shared" si="5"/>
        <v>ㄠ</v>
      </c>
      <c r="W32" s="208" t="s">
        <v>673</v>
      </c>
      <c r="X32" s="183" t="s">
        <v>80</v>
      </c>
      <c r="Y32" s="227" t="s">
        <v>472</v>
      </c>
      <c r="Z32" s="228" t="s">
        <v>30</v>
      </c>
      <c r="AA32" s="229" t="s">
        <v>674</v>
      </c>
    </row>
    <row r="33" spans="5:27">
      <c r="E33" s="180">
        <v>31</v>
      </c>
      <c r="F33" s="224" t="str">
        <f t="shared" si="0"/>
        <v>ong</v>
      </c>
      <c r="G33" s="225" t="s">
        <v>29</v>
      </c>
      <c r="H33" s="225" t="s">
        <v>675</v>
      </c>
      <c r="I33" s="226" t="str">
        <f t="shared" si="1"/>
        <v>ㆲ</v>
      </c>
      <c r="N33" s="180"/>
      <c r="Q33" s="180">
        <v>31</v>
      </c>
      <c r="R33" s="195" t="str">
        <f t="shared" si="4"/>
        <v>.</v>
      </c>
      <c r="S33" s="195" t="str">
        <f t="shared" si="5"/>
        <v>ㆲ</v>
      </c>
      <c r="W33" s="230" t="s">
        <v>676</v>
      </c>
      <c r="X33" s="183" t="s">
        <v>101</v>
      </c>
      <c r="Y33" s="227" t="s">
        <v>612</v>
      </c>
      <c r="Z33" s="228" t="s">
        <v>611</v>
      </c>
      <c r="AA33" s="229" t="s">
        <v>677</v>
      </c>
    </row>
    <row r="34" spans="5:27">
      <c r="E34" s="180">
        <v>32</v>
      </c>
      <c r="F34" s="224" t="str">
        <f t="shared" si="0"/>
        <v/>
      </c>
      <c r="G34" s="225" t="s">
        <v>63</v>
      </c>
      <c r="H34" s="225" t="s">
        <v>182</v>
      </c>
      <c r="I34" s="226" t="str">
        <f t="shared" si="1"/>
        <v/>
      </c>
      <c r="N34" s="180"/>
      <c r="Q34" s="180">
        <v>32</v>
      </c>
      <c r="R34" s="195" t="str">
        <f t="shared" si="4"/>
        <v>0</v>
      </c>
      <c r="S34" s="195" t="str">
        <f t="shared" si="5"/>
        <v>ㄢ</v>
      </c>
      <c r="W34" s="208">
        <v>0</v>
      </c>
      <c r="X34" s="183" t="s">
        <v>23</v>
      </c>
      <c r="Y34" s="227" t="s">
        <v>606</v>
      </c>
      <c r="Z34" s="228" t="s">
        <v>607</v>
      </c>
      <c r="AA34" s="229" t="s">
        <v>678</v>
      </c>
    </row>
    <row r="35" spans="5:27">
      <c r="E35" s="180">
        <v>33</v>
      </c>
      <c r="F35" s="224" t="str">
        <f t="shared" si="0"/>
        <v>-n</v>
      </c>
      <c r="G35" s="225" t="s">
        <v>57</v>
      </c>
      <c r="H35" s="225" t="s">
        <v>9</v>
      </c>
      <c r="I35" s="226" t="str">
        <f t="shared" si="1"/>
        <v>ㄣ</v>
      </c>
      <c r="N35" s="180"/>
      <c r="Q35" s="180">
        <v>33</v>
      </c>
      <c r="R35" s="195" t="str">
        <f t="shared" si="4"/>
        <v>p</v>
      </c>
      <c r="S35" s="195" t="str">
        <f t="shared" si="5"/>
        <v>ㄣ</v>
      </c>
      <c r="W35" s="203" t="s">
        <v>679</v>
      </c>
      <c r="X35" s="183" t="s">
        <v>54</v>
      </c>
      <c r="Y35" s="227" t="s">
        <v>329</v>
      </c>
      <c r="Z35" s="228" t="s">
        <v>57</v>
      </c>
      <c r="AA35" s="229" t="s">
        <v>364</v>
      </c>
    </row>
    <row r="36" spans="5:27">
      <c r="E36" s="180">
        <v>34</v>
      </c>
      <c r="F36" s="224" t="str">
        <f t="shared" si="0"/>
        <v>ang</v>
      </c>
      <c r="G36" s="225" t="s">
        <v>24</v>
      </c>
      <c r="H36" s="225" t="s">
        <v>183</v>
      </c>
      <c r="I36" s="226" t="str">
        <f t="shared" si="1"/>
        <v>ㄤ</v>
      </c>
      <c r="N36" s="180"/>
      <c r="Q36" s="180">
        <v>34</v>
      </c>
      <c r="R36" s="195" t="str">
        <f t="shared" si="4"/>
        <v>;</v>
      </c>
      <c r="S36" s="195" t="str">
        <f t="shared" si="5"/>
        <v>ㄤ</v>
      </c>
      <c r="W36" s="203" t="s">
        <v>680</v>
      </c>
      <c r="X36" s="183" t="s">
        <v>81</v>
      </c>
      <c r="Y36" s="227" t="s">
        <v>609</v>
      </c>
      <c r="Z36" s="228" t="s">
        <v>608</v>
      </c>
      <c r="AA36" s="229" t="s">
        <v>681</v>
      </c>
    </row>
    <row r="37" spans="5:27">
      <c r="E37" s="180">
        <v>35</v>
      </c>
      <c r="F37" s="224" t="str">
        <f t="shared" si="0"/>
        <v>-ng</v>
      </c>
      <c r="G37" s="225" t="s">
        <v>59</v>
      </c>
      <c r="H37" s="225" t="s">
        <v>184</v>
      </c>
      <c r="I37" s="226" t="str">
        <f t="shared" si="1"/>
        <v>ㄥ</v>
      </c>
      <c r="N37" s="180"/>
      <c r="Q37" s="180">
        <v>35</v>
      </c>
      <c r="R37" s="195" t="str">
        <f t="shared" si="4"/>
        <v>/</v>
      </c>
      <c r="S37" s="195" t="str">
        <f t="shared" si="5"/>
        <v>ㆭ</v>
      </c>
      <c r="W37" s="230" t="s">
        <v>682</v>
      </c>
      <c r="X37" s="183" t="s">
        <v>115</v>
      </c>
      <c r="Y37" s="227" t="s">
        <v>314</v>
      </c>
      <c r="Z37" s="228" t="s">
        <v>610</v>
      </c>
      <c r="AA37" s="229" t="s">
        <v>683</v>
      </c>
    </row>
    <row r="38" spans="5:27">
      <c r="E38" s="180">
        <v>36</v>
      </c>
      <c r="F38" s="224" t="str">
        <f t="shared" si="0"/>
        <v/>
      </c>
      <c r="G38" s="225" t="s">
        <v>86</v>
      </c>
      <c r="H38" s="225" t="s">
        <v>185</v>
      </c>
      <c r="I38" s="226" t="str">
        <f t="shared" si="1"/>
        <v/>
      </c>
      <c r="N38" s="180"/>
      <c r="Q38" s="180">
        <v>36</v>
      </c>
      <c r="R38" s="195" t="str">
        <f t="shared" si="4"/>
        <v>-</v>
      </c>
      <c r="S38" s="195" t="str">
        <f t="shared" si="5"/>
        <v>ｎ</v>
      </c>
      <c r="W38" s="230" t="s">
        <v>682</v>
      </c>
      <c r="X38" s="183" t="s">
        <v>102</v>
      </c>
      <c r="Y38" s="227" t="s">
        <v>73</v>
      </c>
      <c r="Z38" s="228" t="s">
        <v>59</v>
      </c>
      <c r="AA38" s="229" t="s">
        <v>363</v>
      </c>
    </row>
    <row r="39" spans="5:27">
      <c r="E39" s="180">
        <v>37</v>
      </c>
      <c r="F39" s="224" t="str">
        <f t="shared" si="0"/>
        <v/>
      </c>
      <c r="G39" s="225" t="s">
        <v>168</v>
      </c>
      <c r="H39" s="225" t="s">
        <v>118</v>
      </c>
      <c r="I39" s="226" t="str">
        <f t="shared" si="1"/>
        <v/>
      </c>
      <c r="N39" s="180"/>
      <c r="Q39" s="180">
        <v>37</v>
      </c>
      <c r="R39" s="195" t="str">
        <f t="shared" si="4"/>
        <v>4</v>
      </c>
      <c r="S39" s="195" t="str">
        <f t="shared" si="5"/>
        <v>ˋ</v>
      </c>
      <c r="W39" s="208" t="s">
        <v>684</v>
      </c>
      <c r="X39" s="183" t="s">
        <v>113</v>
      </c>
      <c r="Y39" s="227" t="s">
        <v>600</v>
      </c>
      <c r="Z39" s="228" t="s">
        <v>601</v>
      </c>
      <c r="AA39" s="229" t="s">
        <v>685</v>
      </c>
    </row>
    <row r="40" spans="5:27">
      <c r="E40" s="180">
        <v>38</v>
      </c>
      <c r="F40" s="224" t="str">
        <f t="shared" si="0"/>
        <v/>
      </c>
      <c r="G40" s="225" t="s">
        <v>169</v>
      </c>
      <c r="H40" s="225" t="s">
        <v>186</v>
      </c>
      <c r="I40" s="226" t="str">
        <f t="shared" si="1"/>
        <v/>
      </c>
      <c r="N40" s="180"/>
      <c r="Q40" s="180">
        <v>38</v>
      </c>
      <c r="R40" s="195" t="str">
        <f t="shared" si="4"/>
        <v>3</v>
      </c>
      <c r="S40" s="195" t="str">
        <f t="shared" si="5"/>
        <v>˪</v>
      </c>
      <c r="W40" s="203" t="s">
        <v>684</v>
      </c>
      <c r="X40" s="183" t="s">
        <v>114</v>
      </c>
      <c r="Y40" s="227" t="s">
        <v>603</v>
      </c>
      <c r="Z40" s="228" t="s">
        <v>602</v>
      </c>
      <c r="AA40" s="229" t="s">
        <v>686</v>
      </c>
    </row>
    <row r="41" spans="5:27">
      <c r="E41" s="180">
        <v>39</v>
      </c>
      <c r="F41" s="224" t="str">
        <f t="shared" si="0"/>
        <v/>
      </c>
      <c r="G41" s="225" t="s">
        <v>187</v>
      </c>
      <c r="H41" s="225" t="s">
        <v>187</v>
      </c>
      <c r="I41" s="226" t="str">
        <f t="shared" si="1"/>
        <v/>
      </c>
      <c r="N41" s="180"/>
      <c r="Q41" s="180">
        <v>39</v>
      </c>
      <c r="R41" s="195" t="str">
        <f t="shared" si="4"/>
        <v>6</v>
      </c>
      <c r="S41" s="195" t="str">
        <f t="shared" si="5"/>
        <v>ˊ</v>
      </c>
      <c r="W41" s="208"/>
      <c r="X41" s="183" t="s">
        <v>107</v>
      </c>
      <c r="Y41" s="227" t="s">
        <v>309</v>
      </c>
      <c r="Z41" s="228" t="s">
        <v>385</v>
      </c>
      <c r="AA41" s="229" t="s">
        <v>374</v>
      </c>
    </row>
    <row r="42" spans="5:27">
      <c r="E42" s="180">
        <v>40</v>
      </c>
      <c r="F42" s="224" t="str">
        <f t="shared" si="0"/>
        <v/>
      </c>
      <c r="G42" s="225" t="s">
        <v>189</v>
      </c>
      <c r="H42" s="225" t="s">
        <v>188</v>
      </c>
      <c r="I42" s="226" t="str">
        <f t="shared" si="1"/>
        <v/>
      </c>
      <c r="N42" s="180"/>
      <c r="Q42" s="180">
        <v>40</v>
      </c>
      <c r="R42" s="195" t="str">
        <f t="shared" si="4"/>
        <v>5</v>
      </c>
      <c r="S42" s="195" t="str">
        <f t="shared" si="5"/>
        <v>˫</v>
      </c>
      <c r="W42" s="203"/>
      <c r="X42" s="183" t="s">
        <v>116</v>
      </c>
      <c r="Y42" s="227" t="s">
        <v>312</v>
      </c>
      <c r="Z42" s="228" t="s">
        <v>384</v>
      </c>
      <c r="AA42" s="229" t="s">
        <v>372</v>
      </c>
    </row>
    <row r="43" spans="5:27">
      <c r="E43" s="180">
        <v>41</v>
      </c>
      <c r="F43" s="224" t="str">
        <f t="shared" si="0"/>
        <v/>
      </c>
      <c r="G43" s="225" t="s">
        <v>190</v>
      </c>
      <c r="H43" s="225" t="s">
        <v>189</v>
      </c>
      <c r="I43" s="226" t="str">
        <f t="shared" si="1"/>
        <v/>
      </c>
      <c r="N43" s="180"/>
      <c r="Q43" s="180">
        <v>41</v>
      </c>
      <c r="R43" s="195" t="str">
        <f t="shared" si="4"/>
        <v>7</v>
      </c>
      <c r="S43" s="195" t="str">
        <f t="shared" si="5"/>
        <v>．</v>
      </c>
      <c r="W43" s="203"/>
      <c r="X43" s="183" t="s">
        <v>117</v>
      </c>
      <c r="Y43" s="227" t="s">
        <v>313</v>
      </c>
      <c r="Z43" s="228" t="s">
        <v>383</v>
      </c>
      <c r="AA43" s="229" t="s">
        <v>370</v>
      </c>
    </row>
    <row r="44" spans="5:27">
      <c r="E44" s="180">
        <v>42</v>
      </c>
      <c r="F44" s="224" t="str">
        <f t="shared" si="0"/>
        <v/>
      </c>
      <c r="G44" s="225" t="s">
        <v>182</v>
      </c>
      <c r="H44" s="225" t="s">
        <v>190</v>
      </c>
      <c r="I44" s="226" t="str">
        <f t="shared" si="1"/>
        <v/>
      </c>
      <c r="N44" s="180"/>
      <c r="S44" s="181"/>
      <c r="W44" s="203"/>
      <c r="X44" s="183" t="s">
        <v>110</v>
      </c>
      <c r="Y44" s="227" t="s">
        <v>311</v>
      </c>
      <c r="Z44" s="228" t="s">
        <v>382</v>
      </c>
      <c r="AA44" s="229" t="s">
        <v>369</v>
      </c>
    </row>
    <row r="45" spans="5:27">
      <c r="N45" s="180"/>
      <c r="S45" s="181"/>
      <c r="W45" s="203"/>
      <c r="X45" s="183" t="s">
        <v>108</v>
      </c>
      <c r="Y45" s="227" t="s">
        <v>310</v>
      </c>
      <c r="Z45" s="228" t="s">
        <v>381</v>
      </c>
      <c r="AA45" s="229" t="s">
        <v>367</v>
      </c>
    </row>
    <row r="46" spans="5:27">
      <c r="W46" s="203"/>
      <c r="X46" s="183" t="s">
        <v>111</v>
      </c>
      <c r="Y46" s="227" t="s">
        <v>533</v>
      </c>
      <c r="Z46" s="228" t="s">
        <v>532</v>
      </c>
      <c r="AA46" s="229" t="s">
        <v>687</v>
      </c>
    </row>
    <row r="47" spans="5:27">
      <c r="W47" s="203"/>
      <c r="X47" s="183" t="s">
        <v>112</v>
      </c>
      <c r="Y47" s="227" t="s">
        <v>540</v>
      </c>
      <c r="Z47" s="228" t="s">
        <v>539</v>
      </c>
      <c r="AA47" s="229" t="s">
        <v>688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R17"/>
  <sheetViews>
    <sheetView topLeftCell="J1" workbookViewId="0"/>
  </sheetViews>
  <sheetFormatPr defaultRowHeight="21" outlineLevelCol="1"/>
  <cols>
    <col min="1" max="9" width="0" hidden="1" customWidth="1" outlineLevel="1"/>
    <col min="10" max="10" width="8.796875" collapsed="1"/>
  </cols>
  <sheetData>
    <row r="2" spans="2:18">
      <c r="B2" t="s">
        <v>48</v>
      </c>
      <c r="C2" t="s">
        <v>455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456</v>
      </c>
      <c r="K2" s="169" t="s">
        <v>116</v>
      </c>
      <c r="L2" s="169"/>
      <c r="M2" s="169" t="s">
        <v>511</v>
      </c>
      <c r="N2" s="170" t="s">
        <v>384</v>
      </c>
      <c r="O2" s="169" t="s">
        <v>312</v>
      </c>
      <c r="P2" s="169" t="s">
        <v>512</v>
      </c>
      <c r="Q2" s="169" t="s">
        <v>513</v>
      </c>
      <c r="R2" s="169" t="s">
        <v>514</v>
      </c>
    </row>
    <row r="3" spans="2:18">
      <c r="B3" t="s">
        <v>76</v>
      </c>
      <c r="C3" t="s">
        <v>457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458</v>
      </c>
      <c r="K3" s="169" t="s">
        <v>117</v>
      </c>
      <c r="L3" s="169"/>
      <c r="M3" s="169" t="s">
        <v>515</v>
      </c>
      <c r="N3" s="170" t="s">
        <v>383</v>
      </c>
      <c r="O3" s="169"/>
      <c r="P3" s="169"/>
      <c r="Q3" s="169"/>
      <c r="R3" s="169"/>
    </row>
    <row r="4" spans="2:18">
      <c r="B4" t="s">
        <v>20</v>
      </c>
      <c r="C4" t="s">
        <v>459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460</v>
      </c>
      <c r="K4" s="169" t="s">
        <v>107</v>
      </c>
      <c r="L4" s="169" t="s">
        <v>516</v>
      </c>
      <c r="M4" s="169" t="s">
        <v>517</v>
      </c>
      <c r="N4" s="170" t="s">
        <v>385</v>
      </c>
      <c r="O4" s="169" t="s">
        <v>309</v>
      </c>
      <c r="P4" s="169" t="s">
        <v>518</v>
      </c>
      <c r="Q4" s="169" t="s">
        <v>519</v>
      </c>
      <c r="R4" s="169" t="s">
        <v>520</v>
      </c>
    </row>
    <row r="5" spans="2:18">
      <c r="B5" t="s">
        <v>461</v>
      </c>
      <c r="C5" t="s">
        <v>462</v>
      </c>
      <c r="D5" t="s">
        <v>461</v>
      </c>
      <c r="E5" t="s">
        <v>79</v>
      </c>
      <c r="F5" t="s">
        <v>51</v>
      </c>
      <c r="G5" t="s">
        <v>463</v>
      </c>
      <c r="H5" t="s">
        <v>51</v>
      </c>
      <c r="I5" t="s">
        <v>464</v>
      </c>
      <c r="K5" s="169" t="s">
        <v>108</v>
      </c>
      <c r="L5" s="169" t="s">
        <v>521</v>
      </c>
      <c r="M5" s="169" t="s">
        <v>522</v>
      </c>
      <c r="N5" s="170" t="s">
        <v>381</v>
      </c>
      <c r="O5" s="169" t="s">
        <v>310</v>
      </c>
      <c r="P5" s="169" t="s">
        <v>523</v>
      </c>
      <c r="Q5" s="169" t="s">
        <v>524</v>
      </c>
      <c r="R5" s="169" t="s">
        <v>525</v>
      </c>
    </row>
    <row r="6" spans="2:18">
      <c r="B6" t="s">
        <v>78</v>
      </c>
      <c r="C6" t="s">
        <v>465</v>
      </c>
      <c r="D6" t="s">
        <v>461</v>
      </c>
      <c r="E6" t="s">
        <v>79</v>
      </c>
      <c r="F6" t="s">
        <v>79</v>
      </c>
      <c r="G6" t="s">
        <v>79</v>
      </c>
      <c r="H6" t="s">
        <v>79</v>
      </c>
      <c r="I6" t="s">
        <v>466</v>
      </c>
      <c r="K6" s="169" t="s">
        <v>110</v>
      </c>
      <c r="L6" s="169" t="s">
        <v>526</v>
      </c>
      <c r="M6" s="169" t="s">
        <v>527</v>
      </c>
      <c r="N6" s="170" t="s">
        <v>382</v>
      </c>
      <c r="O6" s="169" t="s">
        <v>311</v>
      </c>
      <c r="P6" s="169" t="s">
        <v>528</v>
      </c>
      <c r="Q6" s="169" t="s">
        <v>529</v>
      </c>
      <c r="R6" s="169" t="s">
        <v>530</v>
      </c>
    </row>
    <row r="7" spans="2:18">
      <c r="B7" t="s">
        <v>461</v>
      </c>
      <c r="C7" t="s">
        <v>462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467</v>
      </c>
      <c r="K7" s="169" t="s">
        <v>111</v>
      </c>
      <c r="L7" s="169"/>
      <c r="M7" s="169" t="s">
        <v>531</v>
      </c>
      <c r="N7" s="170" t="s">
        <v>532</v>
      </c>
      <c r="O7" s="169" t="s">
        <v>533</v>
      </c>
      <c r="P7" s="169" t="s">
        <v>534</v>
      </c>
      <c r="Q7" s="169" t="s">
        <v>535</v>
      </c>
      <c r="R7" s="169" t="s">
        <v>536</v>
      </c>
    </row>
    <row r="8" spans="2:18">
      <c r="B8" t="s">
        <v>22</v>
      </c>
      <c r="C8" t="s">
        <v>468</v>
      </c>
      <c r="D8" t="s">
        <v>469</v>
      </c>
      <c r="E8" t="s">
        <v>31</v>
      </c>
      <c r="F8" t="s">
        <v>469</v>
      </c>
      <c r="G8" t="s">
        <v>469</v>
      </c>
      <c r="H8" t="s">
        <v>469</v>
      </c>
      <c r="I8" t="s">
        <v>470</v>
      </c>
      <c r="K8" s="169" t="s">
        <v>112</v>
      </c>
      <c r="L8" s="169" t="s">
        <v>537</v>
      </c>
      <c r="M8" s="169" t="s">
        <v>538</v>
      </c>
      <c r="N8" s="170" t="s">
        <v>539</v>
      </c>
      <c r="O8" s="169" t="s">
        <v>540</v>
      </c>
      <c r="P8" s="169" t="s">
        <v>541</v>
      </c>
      <c r="Q8" s="169" t="s">
        <v>542</v>
      </c>
      <c r="R8" s="169" t="s">
        <v>543</v>
      </c>
    </row>
    <row r="9" spans="2:18">
      <c r="B9" t="s">
        <v>80</v>
      </c>
      <c r="C9" t="s">
        <v>471</v>
      </c>
      <c r="D9" t="s">
        <v>472</v>
      </c>
      <c r="E9" t="s">
        <v>30</v>
      </c>
      <c r="F9" t="s">
        <v>472</v>
      </c>
      <c r="G9" t="s">
        <v>472</v>
      </c>
      <c r="H9" t="s">
        <v>472</v>
      </c>
      <c r="I9" t="s">
        <v>473</v>
      </c>
      <c r="K9" s="169" t="s">
        <v>544</v>
      </c>
      <c r="L9" s="169"/>
      <c r="M9" s="169" t="s">
        <v>545</v>
      </c>
      <c r="N9" s="170" t="s">
        <v>546</v>
      </c>
      <c r="O9" s="169" t="s">
        <v>547</v>
      </c>
      <c r="P9" s="169" t="s">
        <v>548</v>
      </c>
      <c r="Q9" s="169" t="s">
        <v>549</v>
      </c>
      <c r="R9" s="169" t="s">
        <v>550</v>
      </c>
    </row>
    <row r="10" spans="2:18">
      <c r="B10" t="s">
        <v>474</v>
      </c>
      <c r="C10" t="s">
        <v>475</v>
      </c>
      <c r="D10" t="s">
        <v>476</v>
      </c>
      <c r="E10" t="s">
        <v>476</v>
      </c>
      <c r="F10" t="s">
        <v>476</v>
      </c>
      <c r="G10" t="s">
        <v>476</v>
      </c>
      <c r="H10" t="s">
        <v>476</v>
      </c>
      <c r="I10" t="s">
        <v>43</v>
      </c>
      <c r="K10" s="169" t="s">
        <v>551</v>
      </c>
      <c r="L10" s="169" t="s">
        <v>552</v>
      </c>
      <c r="M10" s="169" t="s">
        <v>553</v>
      </c>
      <c r="N10" s="170" t="s">
        <v>554</v>
      </c>
      <c r="O10" s="169" t="s">
        <v>555</v>
      </c>
      <c r="P10" s="169" t="s">
        <v>556</v>
      </c>
      <c r="Q10" s="169" t="s">
        <v>557</v>
      </c>
      <c r="R10" s="169" t="s">
        <v>558</v>
      </c>
    </row>
    <row r="11" spans="2:18">
      <c r="B11" t="s">
        <v>477</v>
      </c>
      <c r="C11" t="s">
        <v>478</v>
      </c>
      <c r="D11" t="s">
        <v>479</v>
      </c>
      <c r="E11" t="s">
        <v>479</v>
      </c>
      <c r="F11" t="s">
        <v>479</v>
      </c>
      <c r="G11" t="s">
        <v>479</v>
      </c>
      <c r="H11" t="s">
        <v>479</v>
      </c>
      <c r="I11" t="s">
        <v>480</v>
      </c>
      <c r="K11" s="169" t="s">
        <v>559</v>
      </c>
      <c r="L11" s="169"/>
      <c r="M11" s="169" t="s">
        <v>560</v>
      </c>
      <c r="N11" s="170" t="s">
        <v>561</v>
      </c>
      <c r="O11" s="169" t="s">
        <v>562</v>
      </c>
      <c r="P11" s="169" t="s">
        <v>563</v>
      </c>
      <c r="Q11" s="169" t="s">
        <v>564</v>
      </c>
      <c r="R11" s="169"/>
    </row>
    <row r="12" spans="2:18">
      <c r="B12" t="s">
        <v>481</v>
      </c>
      <c r="C12" t="s">
        <v>482</v>
      </c>
      <c r="D12" t="s">
        <v>483</v>
      </c>
      <c r="E12" t="s">
        <v>484</v>
      </c>
      <c r="F12" t="s">
        <v>484</v>
      </c>
      <c r="G12" t="s">
        <v>484</v>
      </c>
      <c r="H12" t="s">
        <v>484</v>
      </c>
      <c r="I12" t="s">
        <v>485</v>
      </c>
      <c r="K12" s="169" t="s">
        <v>565</v>
      </c>
      <c r="L12" s="169"/>
      <c r="M12" s="169" t="s">
        <v>566</v>
      </c>
      <c r="N12" s="170" t="s">
        <v>567</v>
      </c>
      <c r="O12" s="169" t="s">
        <v>568</v>
      </c>
      <c r="P12" s="169" t="s">
        <v>569</v>
      </c>
      <c r="Q12" s="169" t="s">
        <v>570</v>
      </c>
      <c r="R12" s="169" t="s">
        <v>571</v>
      </c>
    </row>
    <row r="13" spans="2:18">
      <c r="B13" t="s">
        <v>486</v>
      </c>
      <c r="C13" t="s">
        <v>487</v>
      </c>
      <c r="D13" t="s">
        <v>488</v>
      </c>
      <c r="E13" t="s">
        <v>489</v>
      </c>
      <c r="F13" t="s">
        <v>488</v>
      </c>
      <c r="G13" t="s">
        <v>488</v>
      </c>
      <c r="H13" t="s">
        <v>488</v>
      </c>
      <c r="I13" t="s">
        <v>490</v>
      </c>
      <c r="K13" s="169" t="s">
        <v>572</v>
      </c>
      <c r="L13" s="169"/>
      <c r="M13" s="169" t="s">
        <v>573</v>
      </c>
      <c r="N13" s="170" t="s">
        <v>574</v>
      </c>
      <c r="O13" s="169" t="s">
        <v>575</v>
      </c>
      <c r="P13" s="169" t="s">
        <v>576</v>
      </c>
      <c r="Q13" s="169" t="s">
        <v>577</v>
      </c>
      <c r="R13" s="169" t="s">
        <v>578</v>
      </c>
    </row>
    <row r="14" spans="2:18">
      <c r="B14" t="s">
        <v>491</v>
      </c>
      <c r="C14" t="s">
        <v>492</v>
      </c>
      <c r="D14" t="s">
        <v>493</v>
      </c>
      <c r="E14" t="s">
        <v>493</v>
      </c>
      <c r="F14" t="s">
        <v>493</v>
      </c>
      <c r="G14" t="s">
        <v>493</v>
      </c>
      <c r="H14" t="s">
        <v>493</v>
      </c>
      <c r="I14" t="s">
        <v>494</v>
      </c>
      <c r="K14" s="169" t="s">
        <v>579</v>
      </c>
      <c r="L14" s="169"/>
      <c r="M14" s="169" t="s">
        <v>580</v>
      </c>
      <c r="N14" s="170" t="s">
        <v>581</v>
      </c>
      <c r="O14" s="169" t="s">
        <v>582</v>
      </c>
      <c r="P14" s="169" t="s">
        <v>583</v>
      </c>
      <c r="Q14" s="169" t="s">
        <v>584</v>
      </c>
      <c r="R14" s="169" t="s">
        <v>585</v>
      </c>
    </row>
    <row r="15" spans="2:18">
      <c r="B15" t="s">
        <v>495</v>
      </c>
      <c r="C15" t="s">
        <v>496</v>
      </c>
      <c r="D15" t="s">
        <v>497</v>
      </c>
      <c r="E15" t="s">
        <v>497</v>
      </c>
      <c r="F15" t="s">
        <v>497</v>
      </c>
      <c r="G15" t="s">
        <v>498</v>
      </c>
      <c r="H15" t="s">
        <v>497</v>
      </c>
      <c r="I15" t="s">
        <v>499</v>
      </c>
      <c r="K15" s="169" t="s">
        <v>586</v>
      </c>
      <c r="L15" s="169"/>
      <c r="M15" s="169" t="s">
        <v>587</v>
      </c>
      <c r="N15" s="170" t="s">
        <v>588</v>
      </c>
      <c r="O15" s="169" t="s">
        <v>589</v>
      </c>
      <c r="P15" s="169" t="s">
        <v>590</v>
      </c>
      <c r="Q15" s="169" t="s">
        <v>591</v>
      </c>
      <c r="R15" s="169"/>
    </row>
    <row r="16" spans="2:18" ht="34.5">
      <c r="B16" t="s">
        <v>457</v>
      </c>
      <c r="C16" t="s">
        <v>500</v>
      </c>
      <c r="D16" t="s">
        <v>501</v>
      </c>
      <c r="E16" t="s">
        <v>501</v>
      </c>
      <c r="F16" t="s">
        <v>501</v>
      </c>
      <c r="G16" t="s">
        <v>502</v>
      </c>
      <c r="H16" t="s">
        <v>501</v>
      </c>
      <c r="I16" t="s">
        <v>503</v>
      </c>
      <c r="K16" s="169" t="s">
        <v>592</v>
      </c>
      <c r="L16" s="169" t="s">
        <v>593</v>
      </c>
      <c r="M16" s="169" t="s">
        <v>594</v>
      </c>
      <c r="N16" s="170" t="s">
        <v>595</v>
      </c>
      <c r="O16" s="169" t="s">
        <v>596</v>
      </c>
      <c r="P16" s="169" t="s">
        <v>597</v>
      </c>
      <c r="Q16" s="169" t="s">
        <v>598</v>
      </c>
      <c r="R16" s="169" t="s">
        <v>599</v>
      </c>
    </row>
    <row r="17" spans="2:9">
      <c r="B17" t="s">
        <v>504</v>
      </c>
      <c r="C17" t="s">
        <v>505</v>
      </c>
      <c r="D17" t="s">
        <v>506</v>
      </c>
      <c r="E17" t="s">
        <v>507</v>
      </c>
      <c r="F17" t="s">
        <v>506</v>
      </c>
      <c r="G17" t="s">
        <v>508</v>
      </c>
      <c r="H17" t="s">
        <v>506</v>
      </c>
      <c r="I17" t="s">
        <v>509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</sheetViews>
  <sheetFormatPr defaultColWidth="10.8984375" defaultRowHeight="25.5"/>
  <cols>
    <col min="1" max="1" width="3.5" style="75" customWidth="1"/>
    <col min="2" max="2" width="28.8984375" style="75" customWidth="1"/>
    <col min="3" max="47" width="8.69921875" style="75" customWidth="1"/>
    <col min="48" max="16384" width="10.8984375" style="75"/>
  </cols>
  <sheetData>
    <row r="1" spans="1:47" ht="17.100000000000001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436"/>
      <c r="AR1" s="436"/>
      <c r="AS1" s="77"/>
      <c r="AT1" s="77"/>
      <c r="AU1" s="77"/>
    </row>
    <row r="2" spans="1:47" s="76" customFormat="1" ht="34.5">
      <c r="B2" s="82" t="s">
        <v>319</v>
      </c>
    </row>
    <row r="3" spans="1:47" s="76" customFormat="1" ht="23.25">
      <c r="B3" s="107" t="s">
        <v>318</v>
      </c>
      <c r="C3" s="106" cm="1">
        <f t="array" ref="C3" xml:space="preserve"> COLUMN() - COLUMN($B:$B)</f>
        <v>1</v>
      </c>
      <c r="D3" s="106" cm="1">
        <f t="array" ref="D3" xml:space="preserve"> COLUMN() - COLUMN($B:$B)</f>
        <v>2</v>
      </c>
      <c r="E3" s="106" cm="1">
        <f t="array" ref="E3" xml:space="preserve"> COLUMN() - COLUMN($B:$B)</f>
        <v>3</v>
      </c>
      <c r="F3" s="106" cm="1">
        <f t="array" ref="F3" xml:space="preserve"> COLUMN() - COLUMN($B:$B)</f>
        <v>4</v>
      </c>
      <c r="G3" s="106" cm="1">
        <f t="array" ref="G3" xml:space="preserve"> COLUMN() - COLUMN($B:$B)</f>
        <v>5</v>
      </c>
      <c r="H3" s="106" cm="1">
        <f t="array" ref="H3" xml:space="preserve"> COLUMN() - COLUMN($B:$B)</f>
        <v>6</v>
      </c>
      <c r="I3" s="106" cm="1">
        <f t="array" ref="I3" xml:space="preserve"> COLUMN() - COLUMN($B:$B)</f>
        <v>7</v>
      </c>
      <c r="J3" s="106" cm="1">
        <f t="array" ref="J3" xml:space="preserve"> COLUMN() - COLUMN($B:$B)</f>
        <v>8</v>
      </c>
      <c r="K3" s="106" cm="1">
        <f t="array" ref="K3" xml:space="preserve"> COLUMN() - COLUMN($B:$B)</f>
        <v>9</v>
      </c>
      <c r="L3" s="106" cm="1">
        <f t="array" ref="L3" xml:space="preserve"> COLUMN() - COLUMN($B:$B)</f>
        <v>10</v>
      </c>
      <c r="M3" s="106" cm="1">
        <f t="array" ref="M3" xml:space="preserve"> COLUMN() - COLUMN($B:$B)</f>
        <v>11</v>
      </c>
      <c r="N3" s="106" cm="1">
        <f t="array" ref="N3" xml:space="preserve"> COLUMN() - COLUMN($B:$B)</f>
        <v>12</v>
      </c>
      <c r="O3" s="106" cm="1">
        <f t="array" ref="O3" xml:space="preserve"> COLUMN() - COLUMN($B:$B)</f>
        <v>13</v>
      </c>
      <c r="P3" s="106" cm="1">
        <f t="array" ref="P3" xml:space="preserve"> COLUMN() - COLUMN($B:$B)</f>
        <v>14</v>
      </c>
      <c r="Q3" s="106" cm="1">
        <f t="array" ref="Q3" xml:space="preserve"> COLUMN() - COLUMN($B:$B)</f>
        <v>15</v>
      </c>
      <c r="R3" s="106" cm="1">
        <f t="array" ref="R3" xml:space="preserve"> COLUMN() - COLUMN($B:$B)</f>
        <v>16</v>
      </c>
      <c r="S3" s="106" cm="1">
        <f t="array" ref="S3" xml:space="preserve"> COLUMN() - COLUMN($B:$B)</f>
        <v>17</v>
      </c>
      <c r="T3" s="106" cm="1">
        <f t="array" ref="T3" xml:space="preserve"> COLUMN() - COLUMN($B:$B)</f>
        <v>18</v>
      </c>
      <c r="U3" s="106" cm="1">
        <f t="array" ref="U3" xml:space="preserve"> COLUMN() - COLUMN($B:$B)</f>
        <v>19</v>
      </c>
      <c r="V3" s="106" cm="1">
        <f t="array" ref="V3" xml:space="preserve"> COLUMN() - COLUMN($B:$B)</f>
        <v>20</v>
      </c>
      <c r="W3" s="106" cm="1">
        <f t="array" ref="W3" xml:space="preserve"> COLUMN() - COLUMN($B:$B)</f>
        <v>21</v>
      </c>
      <c r="X3" s="106" cm="1">
        <f t="array" ref="X3" xml:space="preserve"> COLUMN() - COLUMN($B:$B)</f>
        <v>22</v>
      </c>
      <c r="Y3" s="106" cm="1">
        <f t="array" ref="Y3" xml:space="preserve"> COLUMN() - COLUMN($B:$B)</f>
        <v>23</v>
      </c>
      <c r="Z3" s="106" cm="1">
        <f t="array" ref="Z3" xml:space="preserve"> COLUMN() - COLUMN($B:$B)</f>
        <v>24</v>
      </c>
      <c r="AA3" s="106" cm="1">
        <f t="array" ref="AA3" xml:space="preserve"> COLUMN() - COLUMN($B:$B)</f>
        <v>25</v>
      </c>
      <c r="AB3" s="106" cm="1">
        <f t="array" ref="AB3" xml:space="preserve"> COLUMN() - COLUMN($B:$B)</f>
        <v>26</v>
      </c>
      <c r="AC3" s="106" cm="1">
        <f t="array" ref="AC3" xml:space="preserve"> COLUMN() - COLUMN($B:$B)</f>
        <v>27</v>
      </c>
      <c r="AD3" s="106" cm="1">
        <f t="array" ref="AD3" xml:space="preserve"> COLUMN() - COLUMN($B:$B)</f>
        <v>28</v>
      </c>
      <c r="AE3" s="106" cm="1">
        <f t="array" ref="AE3" xml:space="preserve"> COLUMN() - COLUMN($B:$B)</f>
        <v>29</v>
      </c>
      <c r="AF3" s="106" cm="1">
        <f t="array" ref="AF3" xml:space="preserve"> COLUMN() - COLUMN($B:$B)</f>
        <v>30</v>
      </c>
      <c r="AG3" s="106" cm="1">
        <f t="array" ref="AG3" xml:space="preserve"> COLUMN() - COLUMN($B:$B)</f>
        <v>31</v>
      </c>
      <c r="AH3" s="106" cm="1">
        <f t="array" ref="AH3" xml:space="preserve"> COLUMN() - COLUMN($B:$B)</f>
        <v>32</v>
      </c>
      <c r="AI3" s="106" cm="1">
        <f t="array" ref="AI3" xml:space="preserve"> COLUMN() - COLUMN($B:$B)</f>
        <v>33</v>
      </c>
      <c r="AJ3" s="106" cm="1">
        <f t="array" ref="AJ3" xml:space="preserve"> COLUMN() - COLUMN($B:$B)</f>
        <v>34</v>
      </c>
      <c r="AK3" s="106" cm="1">
        <f t="array" ref="AK3" xml:space="preserve"> COLUMN() - COLUMN($B:$B)</f>
        <v>35</v>
      </c>
      <c r="AL3" s="106" cm="1">
        <f t="array" ref="AL3" xml:space="preserve"> COLUMN() - COLUMN($B:$B)</f>
        <v>36</v>
      </c>
      <c r="AM3" s="106" cm="1">
        <f t="array" ref="AM3" xml:space="preserve"> COLUMN() - COLUMN($B:$B)</f>
        <v>37</v>
      </c>
      <c r="AN3" s="106" cm="1">
        <f t="array" ref="AN3" xml:space="preserve"> COLUMN() - COLUMN($B:$B)</f>
        <v>38</v>
      </c>
      <c r="AO3" s="106" cm="1">
        <f t="array" ref="AO3" xml:space="preserve"> COLUMN() - COLUMN($B:$B)</f>
        <v>39</v>
      </c>
      <c r="AP3" s="106" cm="1">
        <f t="array" ref="AP3" xml:space="preserve"> COLUMN() - COLUMN($B:$B)</f>
        <v>40</v>
      </c>
      <c r="AQ3" s="106" cm="1">
        <f t="array" ref="AQ3" xml:space="preserve"> COLUMN() - COLUMN($B:$B)</f>
        <v>41</v>
      </c>
      <c r="AR3" s="106" cm="1">
        <f t="array" ref="AR3" xml:space="preserve"> COLUMN() - COLUMN($B:$B)</f>
        <v>42</v>
      </c>
      <c r="AS3" s="106" cm="1">
        <f t="array" ref="AS3" xml:space="preserve"> COLUMN() - COLUMN($B:$B)</f>
        <v>43</v>
      </c>
      <c r="AT3" s="106" cm="1">
        <f t="array" ref="AT3" xml:space="preserve"> COLUMN() - COLUMN($B:$B)</f>
        <v>44</v>
      </c>
      <c r="AU3" s="106" cm="1">
        <f t="array" ref="AU3" xml:space="preserve"> COLUMN() - COLUMN($B:$B)</f>
        <v>45</v>
      </c>
    </row>
    <row r="4" spans="1:47" s="76" customFormat="1" ht="32.25">
      <c r="B4" s="105" t="str">
        <f>'[1](5)鍵盤表'!B16</f>
        <v>方音符號</v>
      </c>
      <c r="C4" s="103" t="str">
        <f>'[1](5)鍵盤表'!C16</f>
        <v>ㄅ</v>
      </c>
      <c r="D4" s="103" t="str">
        <f>'[1](5)鍵盤表'!D16</f>
        <v>ㄆ</v>
      </c>
      <c r="E4" s="103" t="str">
        <f>'[1](5)鍵盤表'!E16</f>
        <v>ㄇ</v>
      </c>
      <c r="F4" s="104" t="str">
        <f>'[1](5)鍵盤表'!F16</f>
        <v>ㆠ</v>
      </c>
      <c r="G4" s="103" t="str">
        <f>'[1](5)鍵盤表'!G16</f>
        <v>ㄉ</v>
      </c>
      <c r="H4" s="103" t="str">
        <f>'[1](5)鍵盤表'!H16</f>
        <v>ㄊ</v>
      </c>
      <c r="I4" s="103" t="str">
        <f>'[1](5)鍵盤表'!I16</f>
        <v>ㄋ</v>
      </c>
      <c r="J4" s="103" t="str">
        <f>'[1](5)鍵盤表'!J16</f>
        <v>ㄌ</v>
      </c>
      <c r="K4" s="103" t="str">
        <f>'[1](5)鍵盤表'!K16</f>
        <v>ㄍ</v>
      </c>
      <c r="L4" s="103" t="str">
        <f>'[1](5)鍵盤表'!L16</f>
        <v>ㄎ</v>
      </c>
      <c r="M4" s="103" t="str">
        <f>'[1](5)鍵盤表'!M16</f>
        <v>ㄏ</v>
      </c>
      <c r="N4" s="104" t="str">
        <f>'[1](5)鍵盤表'!N16</f>
        <v>ㆣ</v>
      </c>
      <c r="O4" s="104" t="str">
        <f>'[1](5)鍵盤表'!O16</f>
        <v>ㄫ</v>
      </c>
      <c r="P4" s="103" t="str">
        <f>'[1](5)鍵盤表'!P16</f>
        <v>ㄗ</v>
      </c>
      <c r="Q4" s="103" t="str">
        <f>'[1](5)鍵盤表'!Q16</f>
        <v>ㄘ</v>
      </c>
      <c r="R4" s="103" t="str">
        <f>'[1](5)鍵盤表'!R16</f>
        <v>ㄙ</v>
      </c>
      <c r="S4" s="104" t="str">
        <f>'[1](5)鍵盤表'!S16</f>
        <v>ㆡ</v>
      </c>
      <c r="T4" s="103" t="str">
        <f>'[1](5)鍵盤表'!T16</f>
        <v>ㄐ</v>
      </c>
      <c r="U4" s="103" t="str">
        <f>'[1](5)鍵盤表'!U16</f>
        <v>ㄑ</v>
      </c>
      <c r="V4" s="103" t="str">
        <f>'[1](5)鍵盤表'!V16</f>
        <v>ㄒ</v>
      </c>
      <c r="W4" s="104" t="str">
        <f>'[1](5)鍵盤表'!W16</f>
        <v>ㆢ</v>
      </c>
      <c r="X4" s="103" t="str">
        <f>'[1](5)鍵盤表'!X16</f>
        <v>ㄧ</v>
      </c>
      <c r="Y4" s="103" t="str">
        <f>'[1](5)鍵盤表'!Y16</f>
        <v>ㄨ</v>
      </c>
      <c r="Z4" s="103" t="str">
        <f>'[1](5)鍵盤表'!Z16</f>
        <v>ㄚ</v>
      </c>
      <c r="AA4" s="104" t="str">
        <f>'[1](5)鍵盤表'!AA16</f>
        <v>ㆦ</v>
      </c>
      <c r="AB4" s="103" t="str">
        <f>'[1](5)鍵盤表'!AB16</f>
        <v>ㄜ</v>
      </c>
      <c r="AC4" s="104" t="str">
        <f>'[1](5)鍵盤表'!AC16</f>
        <v>ㆤ</v>
      </c>
      <c r="AD4" s="104" t="str">
        <f>'[1](5)鍵盤表'!AD16</f>
        <v>ㆬ</v>
      </c>
      <c r="AE4" s="104" t="str">
        <f>'[1](5)鍵盤表'!AE16</f>
        <v>ㆭ</v>
      </c>
      <c r="AF4" s="103" t="str">
        <f>'[1](5)鍵盤表'!AF16</f>
        <v>ㄞ</v>
      </c>
      <c r="AG4" s="103" t="str">
        <f>'[1](5)鍵盤表'!AG16</f>
        <v>ㄠ</v>
      </c>
      <c r="AH4" s="104" t="str">
        <f>'[1](5)鍵盤表'!AH16</f>
        <v>ㆰ</v>
      </c>
      <c r="AI4" s="103" t="str">
        <f>'[1](5)鍵盤表'!AI16</f>
        <v>ㆱ</v>
      </c>
      <c r="AJ4" s="103" t="str">
        <f>'[1](5)鍵盤表'!AJ16</f>
        <v>ㄢ</v>
      </c>
      <c r="AK4" s="104" t="str">
        <f>'[1](5)鍵盤表'!AK16</f>
        <v>ㄣ</v>
      </c>
      <c r="AL4" s="104" t="str">
        <f>'[1](5)鍵盤表'!AL16</f>
        <v>ㄤ</v>
      </c>
      <c r="AM4" s="103" t="str">
        <f>'[1](5)鍵盤表'!AM16</f>
        <v>ㄥ</v>
      </c>
      <c r="AN4" s="103" t="str">
        <f>'[1](5)鍵盤表'!AN16</f>
        <v>ㆲ</v>
      </c>
      <c r="AO4" s="103" t="str">
        <f>'[1](5)鍵盤表'!AO16</f>
        <v>ｎ</v>
      </c>
      <c r="AP4" s="103">
        <f>'[1](5)鍵盤表'!AP16</f>
        <v>0</v>
      </c>
      <c r="AQ4" s="103" t="str">
        <f>'[1](5)鍵盤表'!AQ16</f>
        <v>˪</v>
      </c>
      <c r="AR4" s="103" t="str">
        <f>'[1](5)鍵盤表'!AR16</f>
        <v>ˋ</v>
      </c>
      <c r="AS4" s="103" t="str">
        <f>'[1](5)鍵盤表'!AS16</f>
        <v>˫</v>
      </c>
      <c r="AT4" s="103" t="str">
        <f>'[1](5)鍵盤表'!AT16</f>
        <v>ˊ</v>
      </c>
      <c r="AU4" s="103" t="str">
        <f>'[1](5)鍵盤表'!AU16</f>
        <v>·</v>
      </c>
    </row>
    <row r="5" spans="1:47" s="76" customFormat="1" ht="32.25">
      <c r="B5" s="102" t="str">
        <f>'[1](5)鍵盤表'!B17</f>
        <v>國際音標</v>
      </c>
      <c r="C5" s="100" t="str">
        <f>'[1](5)鍵盤表'!C17</f>
        <v>p</v>
      </c>
      <c r="D5" s="100" t="str">
        <f>'[1](5)鍵盤表'!D17</f>
        <v>pʰ</v>
      </c>
      <c r="E5" s="100" t="str">
        <f>'[1](5)鍵盤表'!E17</f>
        <v>m</v>
      </c>
      <c r="F5" s="99" t="str">
        <f>'[1](5)鍵盤表'!F17</f>
        <v>b</v>
      </c>
      <c r="G5" s="100" t="str">
        <f>'[1](5)鍵盤表'!G17</f>
        <v>t</v>
      </c>
      <c r="H5" s="100" t="str">
        <f>'[1](5)鍵盤表'!H17</f>
        <v>tʰ</v>
      </c>
      <c r="I5" s="100" t="str">
        <f>'[1](5)鍵盤表'!I17</f>
        <v>n</v>
      </c>
      <c r="J5" s="100" t="str">
        <f>'[1](5)鍵盤表'!J17</f>
        <v>l</v>
      </c>
      <c r="K5" s="100" t="str">
        <f>'[1](5)鍵盤表'!K17</f>
        <v>k</v>
      </c>
      <c r="L5" s="100" t="str">
        <f>'[1](5)鍵盤表'!L17</f>
        <v>kʰ</v>
      </c>
      <c r="M5" s="100" t="str">
        <f>'[1](5)鍵盤表'!M17</f>
        <v>h</v>
      </c>
      <c r="N5" s="99" t="str">
        <f>'[1](5)鍵盤表'!N17</f>
        <v>g</v>
      </c>
      <c r="O5" s="99" t="str">
        <f>'[1](5)鍵盤表'!O17</f>
        <v>ŋ</v>
      </c>
      <c r="P5" s="100" t="str">
        <f>'[1](5)鍵盤表'!P17</f>
        <v>t͡s</v>
      </c>
      <c r="Q5" s="100" t="str">
        <f>'[1](5)鍵盤表'!Q17</f>
        <v>t͡sʰ</v>
      </c>
      <c r="R5" s="100" t="str">
        <f>'[1](5)鍵盤表'!R17</f>
        <v>s</v>
      </c>
      <c r="S5" s="99" t="str">
        <f>'[1](5)鍵盤表'!S17</f>
        <v xml:space="preserve"> 	d͡z / z</v>
      </c>
      <c r="T5" s="100" t="str">
        <f>'[1](5)鍵盤表'!T17</f>
        <v xml:space="preserve"> 	t͡ɕ</v>
      </c>
      <c r="U5" s="100" t="str">
        <f>'[1](5)鍵盤表'!U17</f>
        <v>t͡ɕʰ</v>
      </c>
      <c r="V5" s="100" t="str">
        <f>'[1](5)鍵盤表'!V17</f>
        <v>ɕ</v>
      </c>
      <c r="W5" s="99" t="str">
        <f>'[1](5)鍵盤表'!W17</f>
        <v>d͡ʑ / ʑ[</v>
      </c>
      <c r="X5" s="100" t="str">
        <f>'[1](5)鍵盤表'!X17</f>
        <v>i</v>
      </c>
      <c r="Y5" s="100" t="str">
        <f>'[1](5)鍵盤表'!Y17</f>
        <v>u</v>
      </c>
      <c r="Z5" s="100" t="str">
        <f>'[1](5)鍵盤表'!Z17</f>
        <v>a</v>
      </c>
      <c r="AA5" s="99" t="str">
        <f>'[1](5)鍵盤表'!AA17</f>
        <v>ɔ</v>
      </c>
      <c r="AB5" s="100" t="str">
        <f>'[1](5)鍵盤表'!AB17</f>
        <v>o</v>
      </c>
      <c r="AC5" s="99" t="str">
        <f>'[1](5)鍵盤表'!AC17</f>
        <v>e</v>
      </c>
      <c r="AD5" s="101" t="str">
        <f>'[1](5)鍵盤表'!AD17</f>
        <v>m̩</v>
      </c>
      <c r="AE5" s="101" t="str">
        <f>'[1](5)鍵盤表'!AE17</f>
        <v>ŋ̍</v>
      </c>
      <c r="AF5" s="100" t="str">
        <f>'[1](5)鍵盤表'!AF17</f>
        <v>ai</v>
      </c>
      <c r="AG5" s="100" t="str">
        <f>'[1](5)鍵盤表'!AG17</f>
        <v>au</v>
      </c>
      <c r="AH5" s="99" t="str">
        <f>'[1](5)鍵盤表'!AH17</f>
        <v>am</v>
      </c>
      <c r="AI5" s="100" t="str">
        <f>'[1](5)鍵盤表'!AI17</f>
        <v>ɔm</v>
      </c>
      <c r="AJ5" s="100" t="str">
        <f>'[1](5)鍵盤表'!AJ17</f>
        <v>an</v>
      </c>
      <c r="AK5" s="99" t="str">
        <f>'[1](5)鍵盤表'!AK17</f>
        <v>n</v>
      </c>
      <c r="AL5" s="99" t="str">
        <f>'[1](5)鍵盤表'!AL17</f>
        <v>aŋ</v>
      </c>
      <c r="AM5" s="98" t="str">
        <f>'[1](5)鍵盤表'!AM17</f>
        <v>əŋ</v>
      </c>
      <c r="AN5" s="98" t="str">
        <f>'[1](5)鍵盤表'!AN17</f>
        <v>ɔŋ</v>
      </c>
      <c r="AO5" s="98" t="str">
        <f>'[1](5)鍵盤表'!AO17</f>
        <v>ã</v>
      </c>
      <c r="AP5" s="97">
        <f>'[1](5)鍵盤表'!AP17</f>
        <v>1</v>
      </c>
      <c r="AQ5" s="97">
        <f>'[1](5)鍵盤表'!AQ17</f>
        <v>0</v>
      </c>
      <c r="AR5" s="97">
        <f>'[1](5)鍵盤表'!AR17</f>
        <v>0</v>
      </c>
      <c r="AS5" s="97">
        <f>'[1](5)鍵盤表'!AS17</f>
        <v>0</v>
      </c>
      <c r="AT5" s="97">
        <f>'[1](5)鍵盤表'!AT17</f>
        <v>0</v>
      </c>
      <c r="AU5" s="97">
        <f>'[1](5)鍵盤表'!AU17</f>
        <v>0</v>
      </c>
    </row>
    <row r="6" spans="1:47" s="76" customFormat="1">
      <c r="B6" s="96" t="str">
        <f>'[1](5)鍵盤表'!B18</f>
        <v>羅馬拼音</v>
      </c>
      <c r="C6" s="94" t="str">
        <f>'[1](5)鍵盤表'!C18</f>
        <v>p</v>
      </c>
      <c r="D6" s="94" t="str">
        <f>'[1](5)鍵盤表'!D18</f>
        <v>ph</v>
      </c>
      <c r="E6" s="94" t="str">
        <f>'[1](5)鍵盤表'!E18</f>
        <v>m</v>
      </c>
      <c r="F6" s="92" t="str">
        <f>'[1](5)鍵盤表'!F18</f>
        <v>b</v>
      </c>
      <c r="G6" s="94" t="str">
        <f>'[1](5)鍵盤表'!G18</f>
        <v>t</v>
      </c>
      <c r="H6" s="94" t="str">
        <f>'[1](5)鍵盤表'!H18</f>
        <v>th</v>
      </c>
      <c r="I6" s="94" t="str">
        <f>'[1](5)鍵盤表'!I18</f>
        <v>n</v>
      </c>
      <c r="J6" s="94" t="str">
        <f>'[1](5)鍵盤表'!J18</f>
        <v>l</v>
      </c>
      <c r="K6" s="94" t="str">
        <f>'[1](5)鍵盤表'!K18</f>
        <v>k</v>
      </c>
      <c r="L6" s="94" t="str">
        <f>'[1](5)鍵盤表'!L18</f>
        <v>kh</v>
      </c>
      <c r="M6" s="94" t="str">
        <f>'[1](5)鍵盤表'!M18</f>
        <v>h</v>
      </c>
      <c r="N6" s="92" t="str">
        <f>'[1](5)鍵盤表'!N18</f>
        <v>g</v>
      </c>
      <c r="O6" s="92" t="str">
        <f>'[1](5)鍵盤表'!O18</f>
        <v>ng</v>
      </c>
      <c r="P6" s="94" t="str">
        <f>'[1](5)鍵盤表'!P18</f>
        <v>ts</v>
      </c>
      <c r="Q6" s="94" t="str">
        <f>'[1](5)鍵盤表'!Q18</f>
        <v>tsh</v>
      </c>
      <c r="R6" s="94" t="str">
        <f>'[1](5)鍵盤表'!R18</f>
        <v>s</v>
      </c>
      <c r="S6" s="92" t="str">
        <f>'[1](5)鍵盤表'!S18</f>
        <v>j</v>
      </c>
      <c r="T6" s="94" t="str">
        <f>'[1](5)鍵盤表'!T18</f>
        <v>tsi</v>
      </c>
      <c r="U6" s="94" t="str">
        <f>'[1](5)鍵盤表'!U18</f>
        <v>tshi</v>
      </c>
      <c r="V6" s="94" t="str">
        <f>'[1](5)鍵盤表'!V18</f>
        <v>si</v>
      </c>
      <c r="W6" s="92" t="str">
        <f>'[1](5)鍵盤表'!W18</f>
        <v>ji</v>
      </c>
      <c r="X6" s="94" t="str">
        <f>'[1](5)鍵盤表'!X18</f>
        <v>i</v>
      </c>
      <c r="Y6" s="94" t="str">
        <f>'[1](5)鍵盤表'!Y18</f>
        <v>u</v>
      </c>
      <c r="Z6" s="94" t="str">
        <f>'[1](5)鍵盤表'!Z18</f>
        <v>a</v>
      </c>
      <c r="AA6" s="92" t="str">
        <f>'[1](5)鍵盤表'!AA18</f>
        <v>oo</v>
      </c>
      <c r="AB6" s="94" t="str">
        <f>'[1](5)鍵盤表'!AB18</f>
        <v>o</v>
      </c>
      <c r="AC6" s="92" t="str">
        <f>'[1](5)鍵盤表'!AC18</f>
        <v>e</v>
      </c>
      <c r="AD6" s="95" t="str">
        <f>'[1](5)鍵盤表'!AD18</f>
        <v>-m</v>
      </c>
      <c r="AE6" s="95" t="str">
        <f>'[1](5)鍵盤表'!AE18</f>
        <v>-ng</v>
      </c>
      <c r="AF6" s="94" t="str">
        <f>'[1](5)鍵盤表'!AF18</f>
        <v>ai</v>
      </c>
      <c r="AG6" s="94" t="str">
        <f>'[1](5)鍵盤表'!AG18</f>
        <v>au</v>
      </c>
      <c r="AH6" s="92" t="str">
        <f>'[1](5)鍵盤表'!AH18</f>
        <v>am</v>
      </c>
      <c r="AI6" s="94" t="str">
        <f>'[1](5)鍵盤表'!AI18</f>
        <v>om</v>
      </c>
      <c r="AJ6" s="94" t="str">
        <f>'[1](5)鍵盤表'!AJ18</f>
        <v>an</v>
      </c>
      <c r="AK6" s="92" t="str">
        <f>'[1](5)鍵盤表'!AK18</f>
        <v>-n</v>
      </c>
      <c r="AL6" s="92" t="str">
        <f>'[1](5)鍵盤表'!AL18</f>
        <v>ang</v>
      </c>
      <c r="AM6" s="93" t="str">
        <f>'[1](5)鍵盤表'!AM18</f>
        <v>-ng</v>
      </c>
      <c r="AN6" s="93" t="str">
        <f>'[1](5)鍵盤表'!AN18</f>
        <v>ong</v>
      </c>
      <c r="AO6" s="93" t="str">
        <f>'[1](5)鍵盤表'!AO18</f>
        <v>-nn</v>
      </c>
      <c r="AP6" s="92">
        <f>'[1](5)鍵盤表'!AP18</f>
        <v>1</v>
      </c>
      <c r="AQ6" s="92">
        <f>'[1](5)鍵盤表'!AQ18</f>
        <v>3</v>
      </c>
      <c r="AR6" s="92">
        <f>'[1](5)鍵盤表'!AR18</f>
        <v>2</v>
      </c>
      <c r="AS6" s="92">
        <f>'[1](5)鍵盤表'!AS18</f>
        <v>7</v>
      </c>
      <c r="AT6" s="92">
        <f>'[1](5)鍵盤表'!AT18</f>
        <v>5</v>
      </c>
      <c r="AU6" s="92">
        <f>'[1](5)鍵盤表'!AU18</f>
        <v>8</v>
      </c>
    </row>
    <row r="7" spans="1:47" s="76" customFormat="1" ht="23.25">
      <c r="B7" s="84" t="str">
        <f>'[1](5)鍵盤表'!B19</f>
        <v>拼音字母</v>
      </c>
      <c r="C7" s="91" t="str">
        <f>'[1](5)鍵盤表'!C19</f>
        <v>p</v>
      </c>
      <c r="D7" s="91" t="str">
        <f>'[1](5)鍵盤表'!D19</f>
        <v>P</v>
      </c>
      <c r="E7" s="91" t="str">
        <f>'[1](5)鍵盤表'!E19</f>
        <v>m</v>
      </c>
      <c r="F7" s="91" t="str">
        <f>'[1](5)鍵盤表'!F19</f>
        <v>b</v>
      </c>
      <c r="G7" s="91" t="str">
        <f>'[1](5)鍵盤表'!G19</f>
        <v>t</v>
      </c>
      <c r="H7" s="91" t="str">
        <f>'[1](5)鍵盤表'!H19</f>
        <v>T</v>
      </c>
      <c r="I7" s="91" t="str">
        <f>'[1](5)鍵盤表'!I19</f>
        <v>d</v>
      </c>
      <c r="J7" s="91" t="str">
        <f>'[1](5)鍵盤表'!J19</f>
        <v>d</v>
      </c>
      <c r="K7" s="91" t="str">
        <f>'[1](5)鍵盤表'!K19</f>
        <v>k</v>
      </c>
      <c r="L7" s="91" t="str">
        <f>'[1](5)鍵盤表'!L19</f>
        <v>K</v>
      </c>
      <c r="M7" s="91" t="str">
        <f>'[1](5)鍵盤表'!M19</f>
        <v>h</v>
      </c>
      <c r="N7" s="91" t="str">
        <f>'[1](5)鍵盤表'!N19</f>
        <v>g</v>
      </c>
      <c r="O7" s="91" t="str">
        <f>'[1](5)鍵盤表'!O19</f>
        <v>g</v>
      </c>
      <c r="P7" s="91" t="str">
        <f>'[1](5)鍵盤表'!P19</f>
        <v>c</v>
      </c>
      <c r="Q7" s="91" t="str">
        <f>'[1](5)鍵盤表'!Q19</f>
        <v>C</v>
      </c>
      <c r="R7" s="91" t="str">
        <f>'[1](5)鍵盤表'!R19</f>
        <v>s</v>
      </c>
      <c r="S7" s="91" t="str">
        <f>'[1](5)鍵盤表'!S19</f>
        <v>z</v>
      </c>
      <c r="T7" s="91" t="str">
        <f>'[1](5)鍵盤表'!T19</f>
        <v>ci</v>
      </c>
      <c r="U7" s="91" t="str">
        <f>'[1](5)鍵盤表'!U19</f>
        <v>Ci</v>
      </c>
      <c r="V7" s="91" t="str">
        <f>'[1](5)鍵盤表'!V19</f>
        <v>si</v>
      </c>
      <c r="W7" s="91" t="str">
        <f>'[1](5)鍵盤表'!W19</f>
        <v>zi</v>
      </c>
      <c r="X7" s="91" t="str">
        <f>'[1](5)鍵盤表'!X19</f>
        <v>i</v>
      </c>
      <c r="Y7" s="91" t="str">
        <f>'[1](5)鍵盤表'!Y19</f>
        <v>u</v>
      </c>
      <c r="Z7" s="91" t="str">
        <f>'[1](5)鍵盤表'!Z19</f>
        <v>a</v>
      </c>
      <c r="AA7" s="91" t="str">
        <f>'[1](5)鍵盤表'!AA19</f>
        <v>o</v>
      </c>
      <c r="AB7" s="91" t="str">
        <f>'[1](5)鍵盤表'!AB19</f>
        <v>ø</v>
      </c>
      <c r="AC7" s="91" t="str">
        <f>'[1](5)鍵盤表'!AC19</f>
        <v>e</v>
      </c>
      <c r="AD7" s="91" t="str">
        <f>'[1](5)鍵盤表'!AD19</f>
        <v>B</v>
      </c>
      <c r="AE7" s="91" t="str">
        <f>'[1](5)鍵盤表'!AE19</f>
        <v>G</v>
      </c>
      <c r="AF7" s="91" t="str">
        <f>'[1](5)鍵盤表'!AF19</f>
        <v>I</v>
      </c>
      <c r="AG7" s="91" t="str">
        <f>'[1](5)鍵盤表'!AG19</f>
        <v>U</v>
      </c>
      <c r="AH7" s="91" t="str">
        <f>'[1](5)鍵盤表'!AH19</f>
        <v>aB</v>
      </c>
      <c r="AI7" s="91" t="str">
        <f>'[1](5)鍵盤表'!AI19</f>
        <v>oB</v>
      </c>
      <c r="AJ7" s="91" t="str">
        <f>'[1](5)鍵盤表'!AJ19</f>
        <v>aD</v>
      </c>
      <c r="AK7" s="91" t="str">
        <f>'[1](5)鍵盤表'!AK19</f>
        <v>D</v>
      </c>
      <c r="AL7" s="91" t="str">
        <f>'[1](5)鍵盤表'!AL19</f>
        <v>aG</v>
      </c>
      <c r="AM7" s="91" t="str">
        <f>'[1](5)鍵盤表'!AM19</f>
        <v>øG</v>
      </c>
      <c r="AN7" s="91" t="str">
        <f>'[1](5)鍵盤表'!AN19</f>
        <v>oG</v>
      </c>
      <c r="AO7" s="91" t="str">
        <f>'[1](5)鍵盤表'!AO19</f>
        <v>N</v>
      </c>
      <c r="AP7" s="91" t="str">
        <f>'[1](5)鍵盤表'!AP19</f>
        <v/>
      </c>
      <c r="AQ7" s="91" t="str">
        <f>'[1](5)鍵盤表'!AQ19</f>
        <v/>
      </c>
      <c r="AR7" s="91" t="str">
        <f>'[1](5)鍵盤表'!AR19</f>
        <v/>
      </c>
      <c r="AS7" s="91" t="str">
        <f>'[1](5)鍵盤表'!AS19</f>
        <v/>
      </c>
      <c r="AT7" s="91" t="str">
        <f>'[1](5)鍵盤表'!AT19</f>
        <v/>
      </c>
      <c r="AU7" s="91" t="str">
        <f>'[1](5)鍵盤表'!AU19</f>
        <v/>
      </c>
    </row>
    <row r="8" spans="1:47" s="76" customFormat="1" ht="23.25">
      <c r="B8" s="90" t="str">
        <f>'[1](5)鍵盤表'!B20</f>
        <v>鍵盤按鍵</v>
      </c>
      <c r="C8" s="86" t="str">
        <f>'[1](5)鍵盤表'!C20</f>
        <v>1</v>
      </c>
      <c r="D8" s="86" t="str">
        <f>'[1](5)鍵盤表'!D20</f>
        <v>q</v>
      </c>
      <c r="E8" s="86" t="str">
        <f>'[1](5)鍵盤表'!E20</f>
        <v>a</v>
      </c>
      <c r="F8" s="86" t="str">
        <f>'[1](5)鍵盤表'!F20</f>
        <v>z</v>
      </c>
      <c r="G8" s="86" t="str">
        <f>'[1](5)鍵盤表'!G20</f>
        <v>2</v>
      </c>
      <c r="H8" s="86" t="str">
        <f>'[1](5)鍵盤表'!H20</f>
        <v>w</v>
      </c>
      <c r="I8" s="86" t="str">
        <f>'[1](5)鍵盤表'!I20</f>
        <v>s</v>
      </c>
      <c r="J8" s="86" t="str">
        <f>'[1](5)鍵盤表'!J20</f>
        <v>x</v>
      </c>
      <c r="K8" s="86" t="str">
        <f>'[1](5)鍵盤表'!K20</f>
        <v>e</v>
      </c>
      <c r="L8" s="86" t="str">
        <f>'[1](5)鍵盤表'!L20</f>
        <v>d</v>
      </c>
      <c r="M8" s="86" t="str">
        <f>'[1](5)鍵盤表'!M20</f>
        <v>c</v>
      </c>
      <c r="N8" s="86" t="str">
        <f>'[1](5)鍵盤表'!N20</f>
        <v>t</v>
      </c>
      <c r="O8" s="86" t="str">
        <f>'[1](5)鍵盤表'!O20</f>
        <v>g</v>
      </c>
      <c r="P8" s="86" t="str">
        <f>'[1](5)鍵盤表'!P20</f>
        <v>y</v>
      </c>
      <c r="Q8" s="86" t="str">
        <f>'[1](5)鍵盤表'!Q20</f>
        <v>h</v>
      </c>
      <c r="R8" s="86" t="str">
        <f>'[1](5)鍵盤表'!R20</f>
        <v>n</v>
      </c>
      <c r="S8" s="86" t="str">
        <f>'[1](5)鍵盤表'!S20</f>
        <v>b</v>
      </c>
      <c r="T8" s="86" t="str">
        <f>'[1](5)鍵盤表'!T20</f>
        <v>r</v>
      </c>
      <c r="U8" s="86" t="str">
        <f>'[1](5)鍵盤表'!U20</f>
        <v>f</v>
      </c>
      <c r="V8" s="86" t="str">
        <f>'[1](5)鍵盤表'!V20</f>
        <v>v</v>
      </c>
      <c r="W8" s="86" t="str">
        <f>'[1](5)鍵盤表'!W20</f>
        <v>b</v>
      </c>
      <c r="X8" s="86" t="str">
        <f>'[1](5)鍵盤表'!X20</f>
        <v>u</v>
      </c>
      <c r="Y8" s="86" t="str">
        <f>'[1](5)鍵盤表'!Y20</f>
        <v>j</v>
      </c>
      <c r="Z8" s="86" t="str">
        <f>'[1](5)鍵盤表'!Z20</f>
        <v>8</v>
      </c>
      <c r="AA8" s="86" t="str">
        <f>'[1](5)鍵盤表'!AA20</f>
        <v>i</v>
      </c>
      <c r="AB8" s="86" t="str">
        <f>'[1](5)鍵盤表'!AB20</f>
        <v>k</v>
      </c>
      <c r="AC8" s="86" t="str">
        <f>'[1](5)鍵盤表'!AC20</f>
        <v>o</v>
      </c>
      <c r="AD8" s="86" t="str">
        <f>'[1](5)鍵盤表'!AD20</f>
        <v>m</v>
      </c>
      <c r="AE8" s="86" t="str">
        <f>'[1](5)鍵盤表'!AE20</f>
        <v>/</v>
      </c>
      <c r="AF8" s="86" t="str">
        <f>'[1](5)鍵盤表'!AF20</f>
        <v>9</v>
      </c>
      <c r="AG8" s="86" t="str">
        <f>'[1](5)鍵盤表'!AG20</f>
        <v>l</v>
      </c>
      <c r="AH8" s="86" t="str">
        <f>'[1](5)鍵盤表'!AH20</f>
        <v>,</v>
      </c>
      <c r="AI8" s="86" t="str">
        <f>'[1](5)鍵盤表'!AI20</f>
        <v>,</v>
      </c>
      <c r="AJ8" s="86" t="str">
        <f>'[1](5)鍵盤表'!AJ20</f>
        <v>0</v>
      </c>
      <c r="AK8" s="86" t="str">
        <f>'[1](5)鍵盤表'!AK20</f>
        <v>p</v>
      </c>
      <c r="AL8" s="86" t="str">
        <f>'[1](5)鍵盤表'!AL20</f>
        <v>;</v>
      </c>
      <c r="AM8" s="86" t="str">
        <f>'[1](5)鍵盤表'!AM20</f>
        <v/>
      </c>
      <c r="AN8" s="86" t="str">
        <f>'[1](5)鍵盤表'!AN20</f>
        <v>.</v>
      </c>
      <c r="AO8" s="86" t="str">
        <f>'[1](5)鍵盤表'!AO20</f>
        <v>-</v>
      </c>
      <c r="AP8" s="86" t="str">
        <f>'[1](5)鍵盤表'!AP20</f>
        <v/>
      </c>
      <c r="AQ8" s="86" t="str">
        <f>'[1](5)鍵盤表'!AQ20</f>
        <v>3</v>
      </c>
      <c r="AR8" s="86" t="str">
        <f>'[1](5)鍵盤表'!AR20</f>
        <v>4</v>
      </c>
      <c r="AS8" s="86" t="str">
        <f>'[1](5)鍵盤表'!AS20</f>
        <v>5</v>
      </c>
      <c r="AT8" s="86" t="str">
        <f>'[1](5)鍵盤表'!AT20</f>
        <v>6</v>
      </c>
      <c r="AU8" s="86" t="str">
        <f>'[1](5)鍵盤表'!AU20</f>
        <v/>
      </c>
    </row>
    <row r="9" spans="1:47" s="76" customFormat="1" ht="23.25">
      <c r="B9" s="90" t="str">
        <f>'[1](5)鍵盤表'!B21</f>
        <v>鍵盤行號</v>
      </c>
      <c r="C9" s="86">
        <f>'[1](5)鍵盤表'!C21</f>
        <v>1</v>
      </c>
      <c r="D9" s="86">
        <f>'[1](5)鍵盤表'!D21</f>
        <v>1</v>
      </c>
      <c r="E9" s="86">
        <f>'[1](5)鍵盤表'!E21</f>
        <v>1</v>
      </c>
      <c r="F9" s="86">
        <f>'[1](5)鍵盤表'!F21</f>
        <v>1</v>
      </c>
      <c r="G9" s="89">
        <f>'[1](5)鍵盤表'!G21</f>
        <v>2</v>
      </c>
      <c r="H9" s="89">
        <f>'[1](5)鍵盤表'!H21</f>
        <v>2</v>
      </c>
      <c r="I9" s="89">
        <f>'[1](5)鍵盤表'!I21</f>
        <v>2</v>
      </c>
      <c r="J9" s="89">
        <f>'[1](5)鍵盤表'!J21</f>
        <v>2</v>
      </c>
      <c r="K9" s="86">
        <f>'[1](5)鍵盤表'!K21</f>
        <v>3</v>
      </c>
      <c r="L9" s="86">
        <f>'[1](5)鍵盤表'!L21</f>
        <v>3</v>
      </c>
      <c r="M9" s="86">
        <f>'[1](5)鍵盤表'!M21</f>
        <v>3</v>
      </c>
      <c r="N9" s="86">
        <f>'[1](5)鍵盤表'!N21</f>
        <v>3</v>
      </c>
      <c r="O9" s="88">
        <f>'[1](5)鍵盤表'!O21</f>
        <v>5</v>
      </c>
      <c r="P9" s="89">
        <f>'[1](5)鍵盤表'!P21</f>
        <v>6</v>
      </c>
      <c r="Q9" s="89">
        <f>'[1](5)鍵盤表'!Q21</f>
        <v>6</v>
      </c>
      <c r="R9" s="89">
        <f>'[1](5)鍵盤表'!R21</f>
        <v>6</v>
      </c>
      <c r="S9" s="88">
        <f>'[1](5)鍵盤表'!S21</f>
        <v>5</v>
      </c>
      <c r="T9" s="86">
        <f>'[1](5)鍵盤表'!T21</f>
        <v>4</v>
      </c>
      <c r="U9" s="86">
        <f>'[1](5)鍵盤表'!U21</f>
        <v>4</v>
      </c>
      <c r="V9" s="86">
        <f>'[1](5)鍵盤表'!V21</f>
        <v>4</v>
      </c>
      <c r="W9" s="87">
        <f>'[1](5)鍵盤表'!W21</f>
        <v>5</v>
      </c>
      <c r="X9" s="86">
        <f>'[1](5)鍵盤表'!X21</f>
        <v>7</v>
      </c>
      <c r="Y9" s="86">
        <f>'[1](5)鍵盤表'!Y21</f>
        <v>7</v>
      </c>
      <c r="Z9" s="86">
        <f>'[1](5)鍵盤表'!Z21</f>
        <v>8</v>
      </c>
      <c r="AA9" s="86">
        <f>'[1](5)鍵盤表'!AA21</f>
        <v>8</v>
      </c>
      <c r="AB9" s="86">
        <f>'[1](5)鍵盤表'!AB21</f>
        <v>8</v>
      </c>
      <c r="AC9" s="86">
        <f>'[1](5)鍵盤表'!AC21</f>
        <v>9</v>
      </c>
      <c r="AD9" s="86">
        <f>'[1](5)鍵盤表'!AD21</f>
        <v>7</v>
      </c>
      <c r="AE9" s="86">
        <f>'[1](5)鍵盤表'!AE21</f>
        <v>7</v>
      </c>
      <c r="AF9" s="86">
        <f>'[1](5)鍵盤表'!AF21</f>
        <v>9</v>
      </c>
      <c r="AG9" s="86">
        <f>'[1](5)鍵盤表'!AG21</f>
        <v>9</v>
      </c>
      <c r="AH9" s="86">
        <f>'[1](5)鍵盤表'!AH21</f>
        <v>8</v>
      </c>
      <c r="AI9" s="86">
        <f>'[1](5)鍵盤表'!AI21</f>
        <v>8</v>
      </c>
      <c r="AJ9" s="86">
        <f>'[1](5)鍵盤表'!AJ21</f>
        <v>0</v>
      </c>
      <c r="AK9" s="86">
        <f>'[1](5)鍵盤表'!AK21</f>
        <v>0</v>
      </c>
      <c r="AL9" s="86">
        <f>'[1](5)鍵盤表'!AL21</f>
        <v>0</v>
      </c>
      <c r="AM9" s="86">
        <f>'[1](5)鍵盤表'!AM21</f>
        <v>0</v>
      </c>
      <c r="AN9" s="86">
        <f>'[1](5)鍵盤表'!AN21</f>
        <v>0</v>
      </c>
      <c r="AO9" s="86" t="str">
        <f>'[1](5)鍵盤表'!AO21</f>
        <v>A</v>
      </c>
      <c r="AP9" s="86" t="str">
        <f>'[1](5)鍵盤表'!AP21</f>
        <v>&lt;SP&gt;</v>
      </c>
      <c r="AQ9" s="86">
        <f>'[1](5)鍵盤表'!AQ21</f>
        <v>3</v>
      </c>
      <c r="AR9" s="86">
        <f>'[1](5)鍵盤表'!AR21</f>
        <v>4</v>
      </c>
      <c r="AS9" s="86">
        <f>'[1](5)鍵盤表'!AS21</f>
        <v>5</v>
      </c>
      <c r="AT9" s="86">
        <f>'[1](5)鍵盤表'!AT21</f>
        <v>6</v>
      </c>
      <c r="AU9" s="86">
        <f>'[1](5)鍵盤表'!AU21</f>
        <v>7</v>
      </c>
    </row>
    <row r="10" spans="1:47" s="76" customFormat="1" ht="23.25"/>
    <row r="11" spans="1:47" s="76" customFormat="1" ht="23.25">
      <c r="B11" s="84" t="str">
        <f>B7</f>
        <v>拼音字母</v>
      </c>
      <c r="C11" s="434" t="str">
        <f xml:space="preserve"> _xlfn.CONCAT(C7:AO7)</f>
        <v>pPmbtTddkKhggcCszciCisiziiuaoøeBGIUaBoBaDDaGøGoGN</v>
      </c>
      <c r="D11" s="434"/>
      <c r="E11" s="434"/>
      <c r="F11" s="434"/>
      <c r="G11" s="434"/>
      <c r="H11" s="434"/>
      <c r="I11" s="434"/>
      <c r="J11" s="434"/>
      <c r="K11" s="434"/>
      <c r="L11" s="434"/>
      <c r="M11" s="434"/>
      <c r="N11" s="434"/>
      <c r="O11" s="434"/>
      <c r="P11" s="434"/>
      <c r="Q11" s="434"/>
      <c r="R11" s="434"/>
      <c r="S11" s="434"/>
      <c r="T11" s="434"/>
      <c r="U11" s="434"/>
      <c r="V11" s="434"/>
      <c r="W11" s="434"/>
      <c r="X11" s="434"/>
      <c r="Y11" s="434"/>
      <c r="Z11" s="434"/>
    </row>
    <row r="12" spans="1:47" s="76" customFormat="1" ht="23.25">
      <c r="B12" s="85" t="str">
        <f>B8</f>
        <v>鍵盤按鍵</v>
      </c>
      <c r="C12" s="435" t="str">
        <f xml:space="preserve"> _xlfn.CONCAT(C8:AO8)</f>
        <v>1qaz2wsxedctgyhnbrfvbuj8ikom/9l,,0p;.-</v>
      </c>
      <c r="D12" s="435"/>
      <c r="E12" s="435"/>
      <c r="F12" s="435"/>
      <c r="G12" s="435"/>
      <c r="H12" s="435"/>
      <c r="I12" s="435"/>
      <c r="J12" s="435"/>
      <c r="K12" s="435"/>
      <c r="L12" s="435"/>
      <c r="M12" s="435"/>
      <c r="N12" s="435"/>
      <c r="O12" s="435"/>
      <c r="P12" s="435"/>
      <c r="Q12" s="435"/>
      <c r="R12" s="435"/>
      <c r="S12" s="435"/>
      <c r="T12" s="435"/>
      <c r="U12" s="435"/>
      <c r="V12" s="435"/>
      <c r="W12" s="435"/>
      <c r="X12" s="435"/>
      <c r="Y12" s="435"/>
      <c r="Z12" s="435"/>
    </row>
    <row r="13" spans="1:47" s="76" customFormat="1" ht="23.25"/>
    <row r="14" spans="1:47" s="76" customFormat="1" ht="34.5">
      <c r="B14" s="82" t="s">
        <v>315</v>
      </c>
    </row>
    <row r="15" spans="1:47" s="76" customFormat="1" ht="23.25">
      <c r="B15" s="433" t="str">
        <f xml:space="preserve"> "- xlit|" &amp; C11 &amp; "|" &amp; C12 &amp; "|"</f>
        <v>- xlit|pPmbtTddkKhggcCszciCisiziiuaoøeBGIUaBoBaDDaGøGoGN|1qaz2wsxedctgyhnbrfvbuj8ikom/9l,,0p;.-|</v>
      </c>
      <c r="C15" s="433"/>
      <c r="D15" s="433"/>
      <c r="E15" s="433"/>
      <c r="F15" s="433"/>
      <c r="G15" s="433"/>
      <c r="H15" s="433"/>
      <c r="I15" s="433"/>
      <c r="J15" s="433"/>
      <c r="K15" s="433"/>
      <c r="L15" s="433"/>
      <c r="M15" s="433"/>
      <c r="N15" s="433"/>
      <c r="O15" s="433"/>
      <c r="P15" s="433"/>
      <c r="Q15" s="433"/>
      <c r="R15" s="433"/>
      <c r="S15" s="433"/>
      <c r="T15" s="433"/>
      <c r="U15" s="433"/>
      <c r="V15" s="433"/>
      <c r="W15" s="433"/>
      <c r="X15" s="433"/>
      <c r="Y15" s="433"/>
      <c r="Z15" s="433"/>
    </row>
    <row r="16" spans="1:47" s="76" customFormat="1" ht="23.25"/>
    <row r="17" spans="2:26" s="76" customFormat="1" ht="34.5">
      <c r="B17" s="82" t="s">
        <v>317</v>
      </c>
    </row>
    <row r="18" spans="2:26" s="76" customFormat="1" ht="23.25"/>
    <row r="19" spans="2:26" s="76" customFormat="1" ht="23.25">
      <c r="B19" s="84" t="str">
        <f>B7</f>
        <v>拼音字母</v>
      </c>
      <c r="C19" s="434" t="str">
        <f xml:space="preserve"> _xlfn.CONCAT(C7:AO7)</f>
        <v>pPmbtTddkKhggcCszciCisiziiuaoøeBGIUaBoBaDDaGøGoGN</v>
      </c>
      <c r="D19" s="434"/>
      <c r="E19" s="434"/>
      <c r="F19" s="434"/>
      <c r="G19" s="434"/>
      <c r="H19" s="434"/>
      <c r="I19" s="434"/>
      <c r="J19" s="434"/>
      <c r="K19" s="434"/>
      <c r="L19" s="434"/>
      <c r="M19" s="434"/>
      <c r="N19" s="434"/>
      <c r="O19" s="434"/>
      <c r="P19" s="434"/>
      <c r="Q19" s="434"/>
      <c r="R19" s="434"/>
      <c r="S19" s="434"/>
      <c r="T19" s="434"/>
      <c r="U19" s="434"/>
      <c r="V19" s="434"/>
      <c r="W19" s="434"/>
      <c r="X19" s="434"/>
      <c r="Y19" s="434"/>
      <c r="Z19" s="434"/>
    </row>
    <row r="20" spans="2:26" s="76" customFormat="1" ht="23.25">
      <c r="B20" s="83" t="str">
        <f>B4</f>
        <v>方音符號</v>
      </c>
      <c r="C20" s="435" t="str">
        <f xml:space="preserve"> _xlfn.CONCAT( C4:AO4)</f>
        <v>ㄅㄆㄇㆠㄉㄊㄋㄌㄍㄎㄏㆣㄫㄗㄘㄙㆡㄐㄑㄒㆢㄧㄨㄚㆦㄜㆤㆬㆭㄞㄠㆰㆱㄢㄣㄤㄥㆲｎ</v>
      </c>
      <c r="D20" s="435"/>
      <c r="E20" s="435"/>
      <c r="F20" s="435"/>
      <c r="G20" s="435"/>
      <c r="H20" s="435"/>
      <c r="I20" s="435"/>
      <c r="J20" s="435"/>
      <c r="K20" s="435"/>
      <c r="L20" s="435"/>
      <c r="M20" s="435"/>
      <c r="N20" s="435"/>
      <c r="O20" s="435"/>
      <c r="P20" s="435"/>
      <c r="Q20" s="435"/>
      <c r="R20" s="435"/>
      <c r="S20" s="435"/>
      <c r="T20" s="435"/>
      <c r="U20" s="435"/>
      <c r="V20" s="435"/>
      <c r="W20" s="435"/>
      <c r="X20" s="435"/>
      <c r="Y20" s="435"/>
      <c r="Z20" s="435"/>
    </row>
    <row r="21" spans="2:26" s="76" customFormat="1" ht="23.25"/>
    <row r="22" spans="2:26" s="76" customFormat="1" ht="34.5">
      <c r="B22" s="82" t="s">
        <v>315</v>
      </c>
    </row>
    <row r="23" spans="2:26" s="76" customFormat="1" ht="23.25">
      <c r="B23" s="433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433"/>
      <c r="D23" s="433"/>
      <c r="E23" s="433"/>
      <c r="F23" s="433"/>
      <c r="G23" s="433"/>
      <c r="H23" s="433"/>
      <c r="I23" s="433"/>
      <c r="J23" s="433"/>
      <c r="K23" s="433"/>
      <c r="L23" s="433"/>
      <c r="M23" s="433"/>
      <c r="N23" s="433"/>
      <c r="O23" s="433"/>
      <c r="P23" s="433"/>
      <c r="Q23" s="433"/>
      <c r="R23" s="433"/>
      <c r="S23" s="433"/>
      <c r="T23" s="433"/>
      <c r="U23" s="433"/>
      <c r="V23" s="433"/>
      <c r="W23" s="433"/>
      <c r="X23" s="433"/>
      <c r="Y23" s="433"/>
      <c r="Z23" s="433"/>
    </row>
    <row r="24" spans="2:26" s="76" customFormat="1" ht="23.25"/>
    <row r="25" spans="2:26" s="76" customFormat="1" ht="34.5">
      <c r="B25" s="82" t="s">
        <v>316</v>
      </c>
    </row>
    <row r="26" spans="2:26" s="76" customFormat="1" ht="23.25"/>
    <row r="27" spans="2:26" s="76" customFormat="1" ht="23.25">
      <c r="B27" s="84" t="str">
        <f>B12</f>
        <v>鍵盤按鍵</v>
      </c>
      <c r="C27" s="434" t="str">
        <f xml:space="preserve"> _xlfn.CONCAT(C8:AO8)</f>
        <v>1qaz2wsxedctgyhnbrfvbuj8ikom/9l,,0p;.-</v>
      </c>
      <c r="D27" s="434"/>
      <c r="E27" s="434"/>
      <c r="F27" s="434"/>
      <c r="G27" s="434"/>
      <c r="H27" s="434"/>
      <c r="I27" s="434"/>
      <c r="J27" s="434"/>
      <c r="K27" s="434"/>
      <c r="L27" s="434"/>
      <c r="M27" s="434"/>
      <c r="N27" s="434"/>
      <c r="O27" s="434"/>
      <c r="P27" s="434"/>
      <c r="Q27" s="434"/>
      <c r="R27" s="434"/>
      <c r="S27" s="434"/>
      <c r="T27" s="434"/>
      <c r="U27" s="434"/>
      <c r="V27" s="434"/>
      <c r="W27" s="434"/>
      <c r="X27" s="434"/>
      <c r="Y27" s="434"/>
      <c r="Z27" s="434"/>
    </row>
    <row r="28" spans="2:26" s="76" customFormat="1" ht="23.25">
      <c r="B28" s="83" t="str">
        <f>B4</f>
        <v>方音符號</v>
      </c>
      <c r="C28" s="435" t="str">
        <f>_xlfn.CONCAT(C4:AO4)</f>
        <v>ㄅㄆㄇㆠㄉㄊㄋㄌㄍㄎㄏㆣㄫㄗㄘㄙㆡㄐㄑㄒㆢㄧㄨㄚㆦㄜㆤㆬㆭㄞㄠㆰㆱㄢㄣㄤㄥㆲｎ</v>
      </c>
      <c r="D28" s="435"/>
      <c r="E28" s="435"/>
      <c r="F28" s="435"/>
      <c r="G28" s="435"/>
      <c r="H28" s="435"/>
      <c r="I28" s="435"/>
      <c r="J28" s="435"/>
      <c r="K28" s="435"/>
      <c r="L28" s="435"/>
      <c r="M28" s="435"/>
      <c r="N28" s="435"/>
      <c r="O28" s="435"/>
      <c r="P28" s="435"/>
      <c r="Q28" s="435"/>
      <c r="R28" s="435"/>
      <c r="S28" s="435"/>
      <c r="T28" s="435"/>
      <c r="U28" s="435"/>
      <c r="V28" s="435"/>
      <c r="W28" s="435"/>
      <c r="X28" s="435"/>
      <c r="Y28" s="435"/>
      <c r="Z28" s="435"/>
    </row>
    <row r="29" spans="2:26" s="76" customFormat="1" ht="23.25"/>
    <row r="30" spans="2:26" s="76" customFormat="1" ht="34.5">
      <c r="B30" s="82" t="s">
        <v>315</v>
      </c>
    </row>
    <row r="31" spans="2:26" s="76" customFormat="1" ht="23.25">
      <c r="B31" s="433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433"/>
      <c r="D31" s="433"/>
      <c r="E31" s="433"/>
      <c r="F31" s="433"/>
      <c r="G31" s="433"/>
      <c r="H31" s="433"/>
      <c r="I31" s="433"/>
      <c r="J31" s="433"/>
      <c r="K31" s="433"/>
      <c r="L31" s="433"/>
      <c r="M31" s="433"/>
      <c r="N31" s="433"/>
      <c r="O31" s="433"/>
      <c r="P31" s="433"/>
      <c r="Q31" s="433"/>
      <c r="R31" s="433"/>
      <c r="S31" s="433"/>
      <c r="T31" s="433"/>
      <c r="U31" s="433"/>
      <c r="V31" s="433"/>
      <c r="W31" s="433"/>
      <c r="X31" s="433"/>
      <c r="Y31" s="433"/>
      <c r="Z31" s="433"/>
    </row>
    <row r="32" spans="2:26" s="76" customFormat="1" ht="23.25"/>
    <row r="33" spans="1:47" s="78" customFormat="1">
      <c r="A33" s="79"/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</row>
    <row r="34" spans="1:47" s="78" customFormat="1">
      <c r="A34" s="79"/>
      <c r="B34" s="80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80"/>
      <c r="AR34" s="79"/>
      <c r="AS34" s="79"/>
      <c r="AT34" s="79"/>
      <c r="AU34" s="79"/>
    </row>
    <row r="35" spans="1:47" s="78" customFormat="1">
      <c r="A35" s="79"/>
      <c r="B35" s="80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80"/>
      <c r="AR35" s="80"/>
      <c r="AS35" s="79"/>
      <c r="AT35" s="79"/>
      <c r="AU35" s="79"/>
    </row>
    <row r="36" spans="1:47" s="78" customFormat="1">
      <c r="A36" s="79"/>
      <c r="B36" s="80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80"/>
      <c r="AR36" s="80"/>
      <c r="AS36" s="79"/>
      <c r="AT36" s="79"/>
      <c r="AU36" s="79"/>
    </row>
    <row r="37" spans="1:47" s="78" customFormat="1">
      <c r="A37" s="79"/>
      <c r="B37" s="80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80"/>
      <c r="AR37" s="79"/>
      <c r="AS37" s="79"/>
      <c r="AT37" s="79"/>
      <c r="AU37" s="79"/>
    </row>
    <row r="38" spans="1:47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436"/>
      <c r="AR38" s="436"/>
      <c r="AS38" s="77"/>
      <c r="AT38" s="77"/>
      <c r="AU38" s="77"/>
    </row>
    <row r="39" spans="1:47" s="76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workbookViewId="0"/>
  </sheetViews>
  <sheetFormatPr defaultColWidth="10.8984375" defaultRowHeight="21" outlineLevelRow="1"/>
  <cols>
    <col min="1" max="1" width="0.796875" style="17" customWidth="1"/>
    <col min="2" max="2" width="17.69921875" style="16" customWidth="1"/>
    <col min="3" max="3" width="11" style="16" customWidth="1"/>
    <col min="4" max="4" width="18.8984375" style="16" customWidth="1"/>
    <col min="5" max="5" width="17.8984375" style="16" customWidth="1"/>
    <col min="6" max="6" width="26.8984375" style="16" customWidth="1"/>
    <col min="7" max="7" width="17.8984375" style="16" customWidth="1"/>
    <col min="8" max="8" width="26.8984375" style="16" customWidth="1"/>
    <col min="9" max="9" width="17.8984375" style="16" customWidth="1"/>
    <col min="10" max="10" width="26.8984375" style="16" customWidth="1"/>
    <col min="11" max="11" width="17.8984375" style="16" customWidth="1"/>
    <col min="12" max="12" width="26.8984375" style="16" customWidth="1"/>
    <col min="13" max="13" width="17.8984375" style="16" customWidth="1"/>
    <col min="14" max="14" width="26.8984375" style="16" customWidth="1"/>
    <col min="15" max="15" width="17.8984375" style="16" customWidth="1"/>
    <col min="16" max="16" width="26.8984375" style="16" customWidth="1"/>
    <col min="17" max="16384" width="10.8984375" style="17"/>
  </cols>
  <sheetData>
    <row r="1" spans="2:16" ht="9" hidden="1" customHeight="1" outlineLevel="1"/>
    <row r="2" spans="2:16" s="18" customFormat="1" ht="33" hidden="1" customHeight="1" outlineLevel="1">
      <c r="B2" s="458" t="s">
        <v>203</v>
      </c>
      <c r="C2" s="458"/>
      <c r="D2" s="458"/>
      <c r="E2" s="458" t="s">
        <v>204</v>
      </c>
      <c r="F2" s="458"/>
      <c r="G2" s="458" t="s">
        <v>205</v>
      </c>
      <c r="H2" s="458"/>
      <c r="I2" s="458" t="s">
        <v>206</v>
      </c>
      <c r="J2" s="458"/>
      <c r="K2" s="458" t="s">
        <v>207</v>
      </c>
      <c r="L2" s="458"/>
      <c r="M2" s="458"/>
      <c r="N2" s="458"/>
      <c r="O2" s="458" t="s">
        <v>208</v>
      </c>
      <c r="P2" s="458"/>
    </row>
    <row r="3" spans="2:16" s="18" customFormat="1" ht="33" hidden="1" customHeight="1" outlineLevel="1">
      <c r="B3" s="458" t="s">
        <v>209</v>
      </c>
      <c r="C3" s="458"/>
      <c r="D3" s="458"/>
      <c r="E3" s="458" t="s">
        <v>204</v>
      </c>
      <c r="F3" s="458"/>
      <c r="G3" s="458" t="s">
        <v>210</v>
      </c>
      <c r="H3" s="458"/>
      <c r="I3" s="458" t="s">
        <v>211</v>
      </c>
      <c r="J3" s="458"/>
      <c r="K3" s="458" t="s">
        <v>212</v>
      </c>
      <c r="L3" s="458"/>
      <c r="M3" s="458"/>
      <c r="N3" s="458"/>
      <c r="O3" s="458" t="s">
        <v>208</v>
      </c>
      <c r="P3" s="458"/>
    </row>
    <row r="4" spans="2:16" s="18" customFormat="1" ht="33" hidden="1" customHeight="1" outlineLevel="1">
      <c r="B4" s="458" t="s">
        <v>213</v>
      </c>
      <c r="C4" s="458"/>
      <c r="D4" s="458"/>
      <c r="E4" s="458" t="s">
        <v>204</v>
      </c>
      <c r="F4" s="458"/>
      <c r="G4" s="458" t="s">
        <v>214</v>
      </c>
      <c r="H4" s="458"/>
      <c r="I4" s="458" t="s">
        <v>211</v>
      </c>
      <c r="J4" s="458"/>
      <c r="K4" s="458" t="s">
        <v>215</v>
      </c>
      <c r="L4" s="458"/>
      <c r="M4" s="458"/>
      <c r="N4" s="458"/>
      <c r="O4" s="458" t="s">
        <v>208</v>
      </c>
      <c r="P4" s="458"/>
    </row>
    <row r="5" spans="2:16" s="18" customFormat="1" ht="33" hidden="1" customHeight="1" outlineLevel="1">
      <c r="B5" s="458" t="s">
        <v>216</v>
      </c>
      <c r="C5" s="458"/>
      <c r="D5" s="458"/>
      <c r="E5" s="458" t="s">
        <v>217</v>
      </c>
      <c r="F5" s="458"/>
      <c r="G5" s="458" t="s">
        <v>218</v>
      </c>
      <c r="H5" s="458"/>
      <c r="I5" s="458" t="s">
        <v>219</v>
      </c>
      <c r="J5" s="458"/>
      <c r="K5" s="458" t="s">
        <v>218</v>
      </c>
      <c r="L5" s="458"/>
      <c r="M5" s="458"/>
      <c r="N5" s="458"/>
      <c r="O5" s="458" t="s">
        <v>220</v>
      </c>
      <c r="P5" s="458"/>
    </row>
    <row r="6" spans="2:16" ht="9" customHeight="1" collapsed="1"/>
    <row r="7" spans="2:16" ht="69.95" customHeight="1">
      <c r="B7" s="451" t="s">
        <v>221</v>
      </c>
      <c r="C7" s="452"/>
      <c r="D7" s="453"/>
      <c r="E7" s="454" t="s">
        <v>217</v>
      </c>
      <c r="F7" s="455"/>
      <c r="G7" s="446" t="s">
        <v>222</v>
      </c>
      <c r="H7" s="447"/>
      <c r="I7" s="456" t="s">
        <v>223</v>
      </c>
      <c r="J7" s="457"/>
      <c r="K7" s="446" t="s">
        <v>224</v>
      </c>
      <c r="L7" s="447"/>
      <c r="M7" s="446" t="s">
        <v>225</v>
      </c>
      <c r="N7" s="447"/>
      <c r="O7" s="446" t="s">
        <v>226</v>
      </c>
      <c r="P7" s="447"/>
    </row>
    <row r="8" spans="2:16" ht="39" customHeight="1">
      <c r="B8" s="437" t="s">
        <v>227</v>
      </c>
      <c r="C8" s="448" t="s">
        <v>228</v>
      </c>
      <c r="D8" s="449" t="s">
        <v>229</v>
      </c>
      <c r="E8" s="19" t="s">
        <v>196</v>
      </c>
      <c r="F8" s="20" t="s">
        <v>196</v>
      </c>
      <c r="G8" s="21" t="s">
        <v>197</v>
      </c>
      <c r="H8" s="20" t="s">
        <v>197</v>
      </c>
      <c r="I8" s="21" t="s">
        <v>201</v>
      </c>
      <c r="J8" s="20" t="s">
        <v>201</v>
      </c>
      <c r="K8" s="21"/>
      <c r="L8" s="20"/>
      <c r="M8" s="21"/>
      <c r="N8" s="20"/>
      <c r="O8" s="22" t="s">
        <v>230</v>
      </c>
      <c r="P8" s="23" t="s">
        <v>231</v>
      </c>
    </row>
    <row r="9" spans="2:16" ht="39" customHeight="1">
      <c r="B9" s="437"/>
      <c r="C9" s="448"/>
      <c r="D9" s="449"/>
      <c r="E9" s="24" t="s">
        <v>232</v>
      </c>
      <c r="F9" s="25" t="s">
        <v>233</v>
      </c>
      <c r="G9" s="26" t="s">
        <v>234</v>
      </c>
      <c r="H9" s="25" t="s">
        <v>235</v>
      </c>
      <c r="I9" s="26" t="s">
        <v>236</v>
      </c>
      <c r="J9" s="25" t="s">
        <v>237</v>
      </c>
      <c r="K9" s="26"/>
      <c r="L9" s="25"/>
      <c r="M9" s="26"/>
      <c r="N9" s="25"/>
      <c r="O9" s="27" t="s">
        <v>238</v>
      </c>
      <c r="P9" s="25" t="s">
        <v>239</v>
      </c>
    </row>
    <row r="10" spans="2:16" ht="39" customHeight="1">
      <c r="B10" s="437"/>
      <c r="C10" s="448"/>
      <c r="D10" s="445" t="s">
        <v>240</v>
      </c>
      <c r="E10" s="19" t="s">
        <v>125</v>
      </c>
      <c r="F10" s="20" t="s">
        <v>125</v>
      </c>
      <c r="G10" s="21" t="s">
        <v>198</v>
      </c>
      <c r="H10" s="20" t="s">
        <v>198</v>
      </c>
      <c r="I10" s="21" t="s">
        <v>127</v>
      </c>
      <c r="J10" s="20" t="s">
        <v>127</v>
      </c>
      <c r="K10" s="21"/>
      <c r="L10" s="20"/>
      <c r="M10" s="21"/>
      <c r="N10" s="20"/>
      <c r="O10" s="21"/>
      <c r="P10" s="20"/>
    </row>
    <row r="11" spans="2:16" ht="39" customHeight="1">
      <c r="B11" s="437"/>
      <c r="C11" s="448"/>
      <c r="D11" s="445"/>
      <c r="E11" s="24" t="s">
        <v>241</v>
      </c>
      <c r="F11" s="25" t="s">
        <v>242</v>
      </c>
      <c r="G11" s="26" t="s">
        <v>243</v>
      </c>
      <c r="H11" s="25" t="s">
        <v>244</v>
      </c>
      <c r="I11" s="26" t="s">
        <v>245</v>
      </c>
      <c r="J11" s="25" t="s">
        <v>246</v>
      </c>
      <c r="K11" s="26"/>
      <c r="L11" s="25"/>
      <c r="M11" s="26"/>
      <c r="N11" s="25"/>
      <c r="O11" s="26"/>
      <c r="P11" s="25"/>
    </row>
    <row r="12" spans="2:16" ht="39" customHeight="1">
      <c r="B12" s="437"/>
      <c r="C12" s="438" t="s">
        <v>247</v>
      </c>
      <c r="D12" s="450" t="s">
        <v>248</v>
      </c>
      <c r="E12" s="19" t="s">
        <v>162</v>
      </c>
      <c r="F12" s="20" t="s">
        <v>162</v>
      </c>
      <c r="G12" s="21"/>
      <c r="H12" s="20"/>
      <c r="I12" s="21" t="s">
        <v>126</v>
      </c>
      <c r="J12" s="20" t="s">
        <v>126</v>
      </c>
      <c r="K12" s="21"/>
      <c r="L12" s="20"/>
      <c r="M12" s="21"/>
      <c r="N12" s="20"/>
      <c r="O12" s="21"/>
      <c r="P12" s="20"/>
    </row>
    <row r="13" spans="2:16" ht="39" customHeight="1">
      <c r="B13" s="437"/>
      <c r="C13" s="438"/>
      <c r="D13" s="450"/>
      <c r="E13" s="24" t="s">
        <v>192</v>
      </c>
      <c r="F13" s="25" t="s">
        <v>249</v>
      </c>
      <c r="G13" s="26"/>
      <c r="H13" s="25"/>
      <c r="I13" s="26" t="s">
        <v>250</v>
      </c>
      <c r="J13" s="25" t="s">
        <v>251</v>
      </c>
      <c r="K13" s="26"/>
      <c r="L13" s="25"/>
      <c r="M13" s="26"/>
      <c r="N13" s="25"/>
      <c r="O13" s="26"/>
      <c r="P13" s="25"/>
    </row>
    <row r="14" spans="2:16" ht="39" customHeight="1">
      <c r="B14" s="437" t="s">
        <v>252</v>
      </c>
      <c r="C14" s="443" t="s">
        <v>228</v>
      </c>
      <c r="D14" s="439" t="s">
        <v>229</v>
      </c>
      <c r="E14" s="19"/>
      <c r="F14" s="20"/>
      <c r="G14" s="21"/>
      <c r="H14" s="20"/>
      <c r="I14" s="21"/>
      <c r="J14" s="20"/>
      <c r="K14" s="21" t="s">
        <v>202</v>
      </c>
      <c r="L14" s="28" t="s">
        <v>253</v>
      </c>
      <c r="M14" s="21" t="s">
        <v>130</v>
      </c>
      <c r="N14" s="28" t="s">
        <v>254</v>
      </c>
      <c r="O14" s="21"/>
      <c r="P14" s="20"/>
    </row>
    <row r="15" spans="2:16" ht="39" customHeight="1">
      <c r="B15" s="437"/>
      <c r="C15" s="443"/>
      <c r="D15" s="439"/>
      <c r="E15" s="24"/>
      <c r="F15" s="25"/>
      <c r="G15" s="26"/>
      <c r="H15" s="25"/>
      <c r="I15" s="26"/>
      <c r="J15" s="25"/>
      <c r="K15" s="26" t="s">
        <v>255</v>
      </c>
      <c r="L15" s="25" t="s">
        <v>256</v>
      </c>
      <c r="M15" s="26" t="s">
        <v>257</v>
      </c>
      <c r="N15" s="25" t="s">
        <v>258</v>
      </c>
      <c r="O15" s="26"/>
      <c r="P15" s="25"/>
    </row>
    <row r="16" spans="2:16" ht="39" customHeight="1">
      <c r="B16" s="437"/>
      <c r="C16" s="443"/>
      <c r="D16" s="445" t="s">
        <v>240</v>
      </c>
      <c r="E16" s="19"/>
      <c r="F16" s="20"/>
      <c r="G16" s="21"/>
      <c r="H16" s="20"/>
      <c r="I16" s="21"/>
      <c r="J16" s="20"/>
      <c r="K16" s="21" t="s">
        <v>135</v>
      </c>
      <c r="L16" s="28" t="s">
        <v>259</v>
      </c>
      <c r="M16" s="21" t="s">
        <v>132</v>
      </c>
      <c r="N16" s="28" t="s">
        <v>260</v>
      </c>
      <c r="O16" s="21"/>
      <c r="P16" s="20"/>
    </row>
    <row r="17" spans="2:17" ht="39" customHeight="1">
      <c r="B17" s="437"/>
      <c r="C17" s="443"/>
      <c r="D17" s="445"/>
      <c r="E17" s="24"/>
      <c r="F17" s="25"/>
      <c r="G17" s="26"/>
      <c r="H17" s="25"/>
      <c r="I17" s="26"/>
      <c r="J17" s="25"/>
      <c r="K17" s="26" t="s">
        <v>261</v>
      </c>
      <c r="L17" s="25" t="s">
        <v>262</v>
      </c>
      <c r="M17" s="26" t="s">
        <v>263</v>
      </c>
      <c r="N17" s="25" t="s">
        <v>264</v>
      </c>
      <c r="O17" s="26"/>
      <c r="P17" s="25"/>
    </row>
    <row r="18" spans="2:17" ht="39" customHeight="1">
      <c r="B18" s="437"/>
      <c r="C18" s="438" t="s">
        <v>247</v>
      </c>
      <c r="D18" s="439" t="s">
        <v>248</v>
      </c>
      <c r="E18" s="19"/>
      <c r="F18" s="20"/>
      <c r="G18" s="21"/>
      <c r="H18" s="20"/>
      <c r="I18" s="21"/>
      <c r="J18" s="20"/>
      <c r="K18" s="21" t="s">
        <v>134</v>
      </c>
      <c r="L18" s="28" t="s">
        <v>265</v>
      </c>
      <c r="M18" s="21" t="s">
        <v>131</v>
      </c>
      <c r="N18" s="28" t="s">
        <v>266</v>
      </c>
      <c r="O18" s="21"/>
      <c r="P18" s="20"/>
    </row>
    <row r="19" spans="2:17" ht="39" customHeight="1">
      <c r="B19" s="437"/>
      <c r="C19" s="438"/>
      <c r="D19" s="439"/>
      <c r="E19" s="24"/>
      <c r="F19" s="25"/>
      <c r="G19" s="26"/>
      <c r="H19" s="25"/>
      <c r="I19" s="26"/>
      <c r="J19" s="25"/>
      <c r="K19" s="26" t="s">
        <v>195</v>
      </c>
      <c r="L19" s="25" t="s">
        <v>267</v>
      </c>
      <c r="M19" s="26" t="s">
        <v>194</v>
      </c>
      <c r="N19" s="25" t="s">
        <v>268</v>
      </c>
      <c r="O19" s="26"/>
      <c r="P19" s="25"/>
    </row>
    <row r="20" spans="2:17" ht="39" customHeight="1">
      <c r="B20" s="437" t="s">
        <v>269</v>
      </c>
      <c r="C20" s="443" t="s">
        <v>228</v>
      </c>
      <c r="D20" s="439" t="s">
        <v>248</v>
      </c>
      <c r="E20" s="19"/>
      <c r="F20" s="20"/>
      <c r="G20" s="21"/>
      <c r="H20" s="20"/>
      <c r="I20" s="21"/>
      <c r="J20" s="20"/>
      <c r="K20" s="21" t="s">
        <v>136</v>
      </c>
      <c r="L20" s="28" t="s">
        <v>136</v>
      </c>
      <c r="M20" s="21" t="s">
        <v>133</v>
      </c>
      <c r="N20" s="28" t="s">
        <v>270</v>
      </c>
      <c r="O20" s="21"/>
      <c r="P20" s="20"/>
    </row>
    <row r="21" spans="2:17" ht="39" customHeight="1">
      <c r="B21" s="437"/>
      <c r="C21" s="443"/>
      <c r="D21" s="439"/>
      <c r="E21" s="24"/>
      <c r="F21" s="25"/>
      <c r="G21" s="26"/>
      <c r="H21" s="25"/>
      <c r="I21" s="26"/>
      <c r="J21" s="25"/>
      <c r="K21" s="26" t="s">
        <v>271</v>
      </c>
      <c r="L21" s="25" t="s">
        <v>272</v>
      </c>
      <c r="M21" s="26" t="s">
        <v>273</v>
      </c>
      <c r="N21" s="25" t="s">
        <v>274</v>
      </c>
      <c r="O21" s="26"/>
      <c r="P21" s="25"/>
    </row>
    <row r="22" spans="2:17" ht="39" customHeight="1">
      <c r="B22" s="437"/>
      <c r="C22" s="443"/>
      <c r="D22" s="444" t="s">
        <v>275</v>
      </c>
      <c r="E22" s="19"/>
      <c r="F22" s="20"/>
      <c r="G22" s="21"/>
      <c r="H22" s="20"/>
      <c r="I22" s="21"/>
      <c r="J22" s="20"/>
      <c r="K22" s="21"/>
      <c r="L22" s="20"/>
      <c r="M22" s="21"/>
      <c r="N22" s="20"/>
      <c r="O22" s="21" t="s">
        <v>129</v>
      </c>
      <c r="P22" s="20" t="s">
        <v>129</v>
      </c>
    </row>
    <row r="23" spans="2:17" ht="39" customHeight="1">
      <c r="B23" s="437"/>
      <c r="C23" s="443"/>
      <c r="D23" s="444"/>
      <c r="E23" s="24"/>
      <c r="F23" s="25"/>
      <c r="G23" s="26"/>
      <c r="H23" s="25"/>
      <c r="I23" s="26"/>
      <c r="J23" s="25"/>
      <c r="K23" s="26"/>
      <c r="L23" s="25"/>
      <c r="M23" s="26"/>
      <c r="N23" s="25"/>
      <c r="O23" s="26" t="s">
        <v>276</v>
      </c>
      <c r="P23" s="25" t="s">
        <v>277</v>
      </c>
    </row>
    <row r="24" spans="2:17" ht="39" customHeight="1">
      <c r="B24" s="437" t="s">
        <v>278</v>
      </c>
      <c r="C24" s="438" t="s">
        <v>247</v>
      </c>
      <c r="D24" s="439" t="s">
        <v>248</v>
      </c>
      <c r="E24" s="19" t="s">
        <v>124</v>
      </c>
      <c r="F24" s="20" t="s">
        <v>124</v>
      </c>
      <c r="G24" s="21" t="s">
        <v>199</v>
      </c>
      <c r="H24" s="20" t="s">
        <v>199</v>
      </c>
      <c r="I24" s="21" t="s">
        <v>128</v>
      </c>
      <c r="J24" s="20" t="s">
        <v>279</v>
      </c>
      <c r="K24" s="21"/>
      <c r="L24" s="20"/>
      <c r="M24" s="21"/>
      <c r="N24" s="20"/>
      <c r="O24" s="21"/>
      <c r="P24" s="20"/>
    </row>
    <row r="25" spans="2:17" ht="39" customHeight="1">
      <c r="B25" s="437"/>
      <c r="C25" s="438"/>
      <c r="D25" s="439"/>
      <c r="E25" s="24" t="s">
        <v>191</v>
      </c>
      <c r="F25" s="25" t="s">
        <v>280</v>
      </c>
      <c r="G25" s="26" t="s">
        <v>193</v>
      </c>
      <c r="H25" s="25" t="s">
        <v>281</v>
      </c>
      <c r="I25" s="26" t="s">
        <v>282</v>
      </c>
      <c r="J25" s="25" t="s">
        <v>283</v>
      </c>
      <c r="K25" s="26"/>
      <c r="L25" s="25"/>
      <c r="M25" s="26"/>
      <c r="N25" s="25"/>
      <c r="O25" s="26"/>
      <c r="P25" s="25"/>
    </row>
    <row r="26" spans="2:17" ht="39" customHeight="1">
      <c r="B26" s="437" t="s">
        <v>284</v>
      </c>
      <c r="C26" s="438" t="s">
        <v>247</v>
      </c>
      <c r="D26" s="439" t="s">
        <v>248</v>
      </c>
      <c r="E26" s="19"/>
      <c r="F26" s="20"/>
      <c r="G26" s="21" t="s">
        <v>285</v>
      </c>
      <c r="H26" s="20" t="s">
        <v>200</v>
      </c>
      <c r="I26" s="21"/>
      <c r="J26" s="20"/>
      <c r="K26" s="21"/>
      <c r="L26" s="20"/>
      <c r="M26" s="21"/>
      <c r="N26" s="20"/>
      <c r="O26" s="21"/>
      <c r="P26" s="20"/>
    </row>
    <row r="27" spans="2:17" ht="39" customHeight="1">
      <c r="B27" s="437"/>
      <c r="C27" s="438"/>
      <c r="D27" s="439"/>
      <c r="E27" s="24"/>
      <c r="F27" s="25"/>
      <c r="G27" s="26" t="s">
        <v>286</v>
      </c>
      <c r="H27" s="25" t="s">
        <v>287</v>
      </c>
      <c r="I27" s="26"/>
      <c r="J27" s="25"/>
      <c r="K27" s="26"/>
      <c r="L27" s="25"/>
      <c r="M27" s="26"/>
      <c r="N27" s="25"/>
      <c r="O27" s="26"/>
      <c r="P27" s="25"/>
    </row>
    <row r="29" spans="2:17" s="30" customFormat="1" ht="25.5">
      <c r="B29" s="29" t="s">
        <v>288</v>
      </c>
      <c r="C29" s="440" t="s">
        <v>289</v>
      </c>
      <c r="D29" s="440"/>
      <c r="E29" s="440"/>
      <c r="F29" s="440"/>
      <c r="G29" s="440"/>
      <c r="H29" s="440"/>
      <c r="I29" s="440"/>
      <c r="J29" s="440"/>
      <c r="K29" s="440"/>
      <c r="L29" s="440"/>
      <c r="M29" s="440"/>
      <c r="N29" s="440"/>
      <c r="O29" s="440"/>
      <c r="P29" s="440"/>
      <c r="Q29" s="440"/>
    </row>
    <row r="30" spans="2:17" s="31" customFormat="1" ht="25.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2:17" s="31" customFormat="1" ht="30">
      <c r="B31" s="32"/>
      <c r="C31" s="33" t="s">
        <v>290</v>
      </c>
      <c r="D31" s="33" t="s">
        <v>291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2:17" ht="30">
      <c r="B32" s="32" t="s">
        <v>292</v>
      </c>
      <c r="C32" s="441" t="s">
        <v>293</v>
      </c>
      <c r="D32" s="442"/>
    </row>
    <row r="33" spans="2:4" ht="30">
      <c r="B33" s="32" t="s">
        <v>294</v>
      </c>
      <c r="C33" s="34" t="s">
        <v>295</v>
      </c>
      <c r="D33" s="34" t="s">
        <v>296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26</vt:i4>
      </vt:variant>
    </vt:vector>
  </HeadingPairs>
  <TitlesOfParts>
    <vt:vector size="40" baseType="lpstr">
      <vt:lpstr>鍵盤圖</vt:lpstr>
      <vt:lpstr>RIME對映編碼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注音符號字典編碼</vt:lpstr>
      <vt:lpstr>RIME對映編碼 (原設計)</vt:lpstr>
      <vt:lpstr>工作表2</vt:lpstr>
      <vt:lpstr>RIME指令 (與漢字拼音相容版)</vt:lpstr>
      <vt:lpstr>聲母發音表</vt:lpstr>
      <vt:lpstr>'RIME解析(BoPoMoFo)'!方音符號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字典編碼</vt:lpstr>
      <vt:lpstr>注音符號</vt:lpstr>
      <vt:lpstr>'RIME對映編碼 (原設計)'!拼音字母</vt:lpstr>
      <vt:lpstr>拼音字母</vt:lpstr>
      <vt:lpstr>'RIME解析(BoPoMoFo)'!按鍵編碼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2024-06-15T12:39:15Z</dcterms:modified>
</cp:coreProperties>
</file>