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Z:\home\alanjui\workspace\rime\rime-tlpa\docs\"/>
    </mc:Choice>
  </mc:AlternateContent>
  <xr:revisionPtr revIDLastSave="0" documentId="13_ncr:1_{5D6B237C-AE94-427E-BF5F-EBA3F9639369}" xr6:coauthVersionLast="47" xr6:coauthVersionMax="47" xr10:uidLastSave="{00000000-0000-0000-0000-000000000000}"/>
  <bookViews>
    <workbookView xWindow="-120" yWindow="-120" windowWidth="38640" windowHeight="15720" tabRatio="762" activeTab="4" xr2:uid="{E87E5C8B-EACA-42E9-8621-62DDB8F02212}"/>
  </bookViews>
  <sheets>
    <sheet name="注音編碼對照表" sheetId="12" r:id="rId1"/>
    <sheet name="使用按鍵解析" sheetId="9" r:id="rId2"/>
    <sheet name="RIME設定解析" sheetId="10" r:id="rId3"/>
    <sheet name="注音符號表" sheetId="20" r:id="rId4"/>
    <sheet name="注音符號按鍵" sheetId="17" r:id="rId5"/>
    <sheet name="RIME對映編碼 (台語方音)" sheetId="1" r:id="rId6"/>
    <sheet name="方音符號音節表" sheetId="21" r:id="rId7"/>
    <sheet name="方音聲母" sheetId="13" r:id="rId8"/>
    <sheet name="方音韻母" sheetId="14" r:id="rId9"/>
  </sheets>
  <externalReferences>
    <externalReference r:id="rId10"/>
    <externalReference r:id="rId11"/>
  </externalReferences>
  <definedNames>
    <definedName name="_xlnm._FilterDatabase" localSheetId="2" hidden="1">RIME設定解析!$Z$2:$AE$58</definedName>
    <definedName name="方音符號" localSheetId="2">RIME設定解析!$W$3:$W$54</definedName>
    <definedName name="方音符號" localSheetId="5">'RIME對映編碼 (台語方音)'!$U$3:$U$44</definedName>
    <definedName name="方音符號" localSheetId="4">#REF!</definedName>
    <definedName name="方音符號">[1]RIME編碼!$AA$3:$AA$45</definedName>
    <definedName name="字典編碼" localSheetId="4">#REF!</definedName>
    <definedName name="字典編碼">[1]RIME編碼!$AB$3:$AB$45</definedName>
    <definedName name="注音符號" localSheetId="2">RIME設定解析!$W$3:$W$54</definedName>
    <definedName name="注音符號">#REF!</definedName>
    <definedName name="注音編碼" localSheetId="2">RIME設定解析!$V$3:$V$54</definedName>
    <definedName name="注音編碼" localSheetId="1">[2]RIME設定解析!$W$3:$W$54</definedName>
    <definedName name="注音編碼">#REF!</definedName>
    <definedName name="拼音字母" localSheetId="2">RIME設定解析!$X$3:$X$54</definedName>
    <definedName name="拼音字母" localSheetId="5">'RIME對映編碼 (台語方音)'!#REF!</definedName>
    <definedName name="拼音字母" localSheetId="4">#REF!</definedName>
    <definedName name="拼音字母">[1]RIME編碼!$AC$3:$AC$45</definedName>
    <definedName name="按鍵編碼" localSheetId="2">RIME設定解析!$V$3:$V$54</definedName>
    <definedName name="按鍵編碼" localSheetId="5">'RIME對映編碼 (台語方音)'!$T$3:$T$44</definedName>
    <definedName name="國際音標" localSheetId="5">'RIME對映編碼 (台語方音)'!#REF!</definedName>
    <definedName name="鍵盤位置" localSheetId="2">RIME設定解析!$U$3:$U$54</definedName>
    <definedName name="鍵盤位置" localSheetId="5">'RIME對映編碼 (台語方音)'!$S$3:$S$44</definedName>
    <definedName name="鍵盤位置" localSheetId="4">#REF!</definedName>
    <definedName name="鍵盤位置">[1]RIME編碼!$W$3:$W$40</definedName>
    <definedName name="鍵盤按鍵" localSheetId="2">RIME設定解析!$U$3:$U$54</definedName>
    <definedName name="鍵盤按鍵" localSheetId="1">[2]RIME設定解析!$U$3:$U$54</definedName>
    <definedName name="鍵盤按鍵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0" l="1" a="1"/>
  <c r="C3" i="20" s="1"/>
  <c r="D3" i="20" a="1"/>
  <c r="D3" i="20" s="1"/>
  <c r="E3" i="20" a="1"/>
  <c r="E3" i="20" s="1"/>
  <c r="F3" i="20" a="1"/>
  <c r="F3" i="20"/>
  <c r="G3" i="20" a="1"/>
  <c r="G3" i="20"/>
  <c r="H3" i="20" a="1"/>
  <c r="H3" i="20" s="1"/>
  <c r="I3" i="20" a="1"/>
  <c r="I3" i="20" s="1"/>
  <c r="J3" i="20" a="1"/>
  <c r="J3" i="20" s="1"/>
  <c r="K3" i="20" a="1"/>
  <c r="K3" i="20" s="1"/>
  <c r="L3" i="20" a="1"/>
  <c r="L3" i="20" s="1"/>
  <c r="M3" i="20" a="1"/>
  <c r="M3" i="20" s="1"/>
  <c r="N3" i="20" a="1"/>
  <c r="N3" i="20" s="1"/>
  <c r="O3" i="20" a="1"/>
  <c r="O3" i="20" s="1"/>
  <c r="P3" i="20" a="1"/>
  <c r="P3" i="20" s="1"/>
  <c r="Q3" i="20" a="1"/>
  <c r="Q3" i="20" s="1"/>
  <c r="R3" i="20" a="1"/>
  <c r="R3" i="20"/>
  <c r="S3" i="20" a="1"/>
  <c r="S3" i="20" s="1"/>
  <c r="T3" i="20" a="1"/>
  <c r="T3" i="20" s="1"/>
  <c r="U3" i="20" a="1"/>
  <c r="U3" i="20" s="1"/>
  <c r="V3" i="20" a="1"/>
  <c r="V3" i="20" s="1"/>
  <c r="C6" i="20" a="1"/>
  <c r="C6" i="20" s="1"/>
  <c r="D6" i="20" a="1"/>
  <c r="D6" i="20" s="1"/>
  <c r="E6" i="20" a="1"/>
  <c r="E6" i="20" s="1"/>
  <c r="F6" i="20" a="1"/>
  <c r="F6" i="20" s="1"/>
  <c r="G6" i="20" a="1"/>
  <c r="G6" i="20" s="1"/>
  <c r="H6" i="20" a="1"/>
  <c r="H6" i="20"/>
  <c r="I6" i="20" a="1"/>
  <c r="I6" i="20" s="1"/>
  <c r="J6" i="20" a="1"/>
  <c r="J6" i="20" s="1"/>
  <c r="K6" i="20" a="1"/>
  <c r="K6" i="20" s="1"/>
  <c r="L6" i="20" a="1"/>
  <c r="L6" i="20" s="1"/>
  <c r="M6" i="20" a="1"/>
  <c r="M6" i="20" s="1"/>
  <c r="N6" i="20" a="1"/>
  <c r="N6" i="20" s="1"/>
  <c r="O6" i="20" a="1"/>
  <c r="O6" i="20" s="1"/>
  <c r="P6" i="20" a="1"/>
  <c r="P6" i="20" s="1"/>
  <c r="Q6" i="20" a="1"/>
  <c r="Q6" i="20" s="1"/>
  <c r="R6" i="20" a="1"/>
  <c r="R6" i="20" s="1"/>
  <c r="S6" i="20" a="1"/>
  <c r="S6" i="20" s="1"/>
  <c r="T6" i="20" a="1"/>
  <c r="T6" i="20" s="1"/>
  <c r="U6" i="20" a="1"/>
  <c r="U6" i="20" s="1"/>
  <c r="V6" i="20" a="1"/>
  <c r="V6" i="20" s="1"/>
  <c r="W6" i="20" a="1"/>
  <c r="W6" i="20" s="1"/>
  <c r="X6" i="20" a="1"/>
  <c r="X6" i="20" s="1"/>
  <c r="Y6" i="20" a="1"/>
  <c r="Y6" i="20"/>
  <c r="B6" i="20" a="1"/>
  <c r="B6" i="20" s="1"/>
  <c r="B3" i="20" a="1"/>
  <c r="B3" i="20" s="1"/>
  <c r="AY16" i="17" l="1" a="1"/>
  <c r="AY16" i="17" s="1"/>
  <c r="AZ16" i="17" a="1"/>
  <c r="AZ16" i="17" s="1"/>
  <c r="BA16" i="17" a="1"/>
  <c r="BA16" i="17" s="1"/>
  <c r="BB16" i="17" a="1"/>
  <c r="BB16" i="17"/>
  <c r="BC16" i="17" a="1"/>
  <c r="BC16" i="17"/>
  <c r="BG55" i="17"/>
  <c r="BH55" i="17"/>
  <c r="BL55" i="17" s="1" a="1"/>
  <c r="BL55" i="17" s="1"/>
  <c r="BI55" i="17" a="1"/>
  <c r="BI55" i="17" s="1"/>
  <c r="BK55" i="17" a="1"/>
  <c r="BK55" i="17" s="1"/>
  <c r="BG51" i="17"/>
  <c r="BH51" i="17"/>
  <c r="BI51" i="17" a="1"/>
  <c r="BI51" i="17" s="1"/>
  <c r="BK51" i="17" a="1"/>
  <c r="BK51" i="17" s="1"/>
  <c r="BL51" i="17" a="1"/>
  <c r="BL51" i="17" s="1"/>
  <c r="BG52" i="17"/>
  <c r="BH52" i="17"/>
  <c r="BI52" i="17" s="1" a="1"/>
  <c r="BI52" i="17" s="1"/>
  <c r="BG53" i="17"/>
  <c r="BH53" i="17"/>
  <c r="BG54" i="17"/>
  <c r="BH54" i="17"/>
  <c r="BK54" i="17" s="1" a="1"/>
  <c r="BK54" i="17" s="1"/>
  <c r="BI54" i="17" a="1"/>
  <c r="BI54" i="17" s="1"/>
  <c r="BL54" i="17" a="1"/>
  <c r="BL54" i="17" s="1"/>
  <c r="BH6" i="17"/>
  <c r="BI6" i="17" s="1" a="1"/>
  <c r="BI6" i="17" s="1"/>
  <c r="BH7" i="17"/>
  <c r="BH8" i="17"/>
  <c r="BL8" i="17" s="1" a="1"/>
  <c r="BL8" i="17" s="1"/>
  <c r="BH9" i="17"/>
  <c r="BL9" i="17" s="1" a="1"/>
  <c r="BL9" i="17" s="1"/>
  <c r="BH10" i="17"/>
  <c r="BH11" i="17"/>
  <c r="BI11" i="17" s="1" a="1"/>
  <c r="BI11" i="17" s="1"/>
  <c r="BH12" i="17"/>
  <c r="BH13" i="17"/>
  <c r="BH14" i="17"/>
  <c r="BK14" i="17" s="1" a="1"/>
  <c r="BK14" i="17" s="1"/>
  <c r="BH15" i="17"/>
  <c r="BL15" i="17" s="1" a="1"/>
  <c r="BL15" i="17" s="1"/>
  <c r="BH16" i="17"/>
  <c r="BI16" i="17" s="1" a="1"/>
  <c r="BI16" i="17" s="1"/>
  <c r="BH17" i="17"/>
  <c r="BH18" i="17"/>
  <c r="BK18" i="17" s="1" a="1"/>
  <c r="BK18" i="17" s="1"/>
  <c r="BH19" i="17"/>
  <c r="BH20" i="17"/>
  <c r="BH21" i="17"/>
  <c r="BH22" i="17"/>
  <c r="BK22" i="17" s="1" a="1"/>
  <c r="BK22" i="17" s="1"/>
  <c r="BH23" i="17"/>
  <c r="BI23" i="17" s="1" a="1"/>
  <c r="BI23" i="17" s="1"/>
  <c r="BH24" i="17"/>
  <c r="BH25" i="17"/>
  <c r="BH26" i="17"/>
  <c r="BH27" i="17"/>
  <c r="BI27" i="17" s="1" a="1"/>
  <c r="BI27" i="17" s="1"/>
  <c r="BH28" i="17"/>
  <c r="BI28" i="17" s="1" a="1"/>
  <c r="BI28" i="17" s="1"/>
  <c r="BH29" i="17"/>
  <c r="BH30" i="17"/>
  <c r="BH31" i="17"/>
  <c r="BH32" i="17"/>
  <c r="BH33" i="17"/>
  <c r="BH34" i="17"/>
  <c r="BH35" i="17"/>
  <c r="BI35" i="17" s="1" a="1"/>
  <c r="BI35" i="17" s="1"/>
  <c r="BH36" i="17"/>
  <c r="BH37" i="17"/>
  <c r="BH38" i="17"/>
  <c r="BH39" i="17"/>
  <c r="BH40" i="17"/>
  <c r="BI40" i="17" s="1" a="1"/>
  <c r="BI40" i="17" s="1"/>
  <c r="BH41" i="17"/>
  <c r="BH42" i="17"/>
  <c r="BH43" i="17"/>
  <c r="BH44" i="17"/>
  <c r="BH45" i="17"/>
  <c r="BH46" i="17"/>
  <c r="BH47" i="17"/>
  <c r="BI47" i="17" s="1" a="1"/>
  <c r="BI47" i="17" s="1"/>
  <c r="BH48" i="17"/>
  <c r="BH49" i="17"/>
  <c r="BH50" i="17"/>
  <c r="BK6" i="17" a="1"/>
  <c r="BK6" i="17" s="1"/>
  <c r="BL6" i="17" a="1"/>
  <c r="BL6" i="17" s="1"/>
  <c r="BI7" i="17" a="1"/>
  <c r="BI7" i="17" s="1"/>
  <c r="BK7" i="17" a="1"/>
  <c r="BK7" i="17" s="1"/>
  <c r="BL7" i="17" a="1"/>
  <c r="BL7" i="17"/>
  <c r="BI8" i="17" a="1"/>
  <c r="BI8" i="17" s="1"/>
  <c r="BK8" i="17" a="1"/>
  <c r="BK8" i="17" s="1"/>
  <c r="BK9" i="17" a="1"/>
  <c r="BK9" i="17" s="1"/>
  <c r="BI10" i="17" a="1"/>
  <c r="BI10" i="17" s="1"/>
  <c r="BK10" i="17" a="1"/>
  <c r="BK10" i="17" s="1"/>
  <c r="BL10" i="17" a="1"/>
  <c r="BL10" i="17" s="1"/>
  <c r="BI12" i="17" a="1"/>
  <c r="BI12" i="17" s="1"/>
  <c r="BK12" i="17" a="1"/>
  <c r="BK12" i="17" s="1"/>
  <c r="BL12" i="17" a="1"/>
  <c r="BL12" i="17" s="1"/>
  <c r="BI13" i="17" a="1"/>
  <c r="BI13" i="17" s="1"/>
  <c r="S9" i="17"/>
  <c r="BK13" i="17" a="1"/>
  <c r="BK13" i="17" s="1"/>
  <c r="BL13" i="17" a="1"/>
  <c r="BL13" i="17" s="1"/>
  <c r="BI14" i="17" a="1"/>
  <c r="BI14" i="17" s="1"/>
  <c r="BL14" i="17" a="1"/>
  <c r="BL14" i="17" s="1"/>
  <c r="BI15" i="17" a="1"/>
  <c r="BI15" i="17" s="1"/>
  <c r="BK15" i="17" a="1"/>
  <c r="BK15" i="17" s="1"/>
  <c r="BI17" i="17" a="1"/>
  <c r="BI17" i="17" s="1"/>
  <c r="T12" i="17"/>
  <c r="BK17" i="17" a="1"/>
  <c r="BK17" i="17" s="1"/>
  <c r="BL17" i="17" a="1"/>
  <c r="BL17" i="17" s="1"/>
  <c r="V12" i="17" s="1"/>
  <c r="BI18" i="17" a="1"/>
  <c r="BI18" i="17" s="1"/>
  <c r="BL18" i="17" a="1"/>
  <c r="BL18" i="17" s="1"/>
  <c r="S12" i="17" s="1"/>
  <c r="BI19" i="17" a="1"/>
  <c r="BI19" i="17" s="1"/>
  <c r="BK19" i="17" a="1"/>
  <c r="BK19" i="17" s="1"/>
  <c r="BL19" i="17" a="1"/>
  <c r="BL19" i="17" s="1"/>
  <c r="BI20" i="17" a="1"/>
  <c r="BI20" i="17" s="1"/>
  <c r="BK20" i="17" a="1"/>
  <c r="BK20" i="17" s="1"/>
  <c r="BL20" i="17" a="1"/>
  <c r="BL20" i="17" s="1"/>
  <c r="BI21" i="17" a="1"/>
  <c r="BI21" i="17" s="1"/>
  <c r="BK21" i="17" a="1"/>
  <c r="BK21" i="17" s="1"/>
  <c r="BL21" i="17" a="1"/>
  <c r="BL21" i="17" s="1"/>
  <c r="BI22" i="17" a="1"/>
  <c r="BI22" i="17" s="1"/>
  <c r="BL22" i="17" a="1"/>
  <c r="BL22" i="17" s="1"/>
  <c r="BI24" i="17" a="1"/>
  <c r="BI24" i="17" s="1"/>
  <c r="BK24" i="17" a="1"/>
  <c r="BK24" i="17" s="1"/>
  <c r="BL24" i="17" a="1"/>
  <c r="BL24" i="17" s="1"/>
  <c r="BI25" i="17" a="1"/>
  <c r="BI25" i="17" s="1"/>
  <c r="BK25" i="17" a="1"/>
  <c r="BK25" i="17" s="1"/>
  <c r="BL25" i="17" a="1"/>
  <c r="BL25" i="17" s="1"/>
  <c r="BI26" i="17" a="1"/>
  <c r="BI26" i="17" s="1"/>
  <c r="BK26" i="17" a="1"/>
  <c r="BK26" i="17" s="1"/>
  <c r="BL26" i="17" a="1"/>
  <c r="BL26" i="17" s="1"/>
  <c r="BK27" i="17" a="1"/>
  <c r="BK27" i="17" s="1"/>
  <c r="BL27" i="17" a="1"/>
  <c r="BL27" i="17" s="1"/>
  <c r="BK28" i="17" a="1"/>
  <c r="BK28" i="17" s="1"/>
  <c r="BI29" i="17" a="1"/>
  <c r="BI29" i="17" s="1"/>
  <c r="BK29" i="17" a="1"/>
  <c r="BK29" i="17" s="1"/>
  <c r="BL29" i="17" a="1"/>
  <c r="BL29" i="17" s="1"/>
  <c r="BI30" i="17" a="1"/>
  <c r="BI30" i="17" s="1"/>
  <c r="BK30" i="17" a="1"/>
  <c r="BK30" i="17" s="1"/>
  <c r="BL30" i="17" a="1"/>
  <c r="BL30" i="17" s="1"/>
  <c r="BI31" i="17" a="1"/>
  <c r="BI31" i="17" s="1"/>
  <c r="BK31" i="17" a="1"/>
  <c r="BK31" i="17" s="1"/>
  <c r="BL31" i="17" a="1"/>
  <c r="BL31" i="17"/>
  <c r="BI32" i="17" a="1"/>
  <c r="BI32" i="17" s="1"/>
  <c r="BK32" i="17" a="1"/>
  <c r="BK32" i="17" s="1"/>
  <c r="BL32" i="17" a="1"/>
  <c r="BL32" i="17" s="1"/>
  <c r="BI33" i="17" a="1"/>
  <c r="BI33" i="17" s="1"/>
  <c r="BK33" i="17" a="1"/>
  <c r="BK33" i="17" s="1"/>
  <c r="BL33" i="17" a="1"/>
  <c r="BL33" i="17" s="1"/>
  <c r="BI34" i="17" a="1"/>
  <c r="BI34" i="17" s="1"/>
  <c r="BK34" i="17" a="1"/>
  <c r="BK34" i="17" s="1"/>
  <c r="BL34" i="17" a="1"/>
  <c r="BL34" i="17" s="1"/>
  <c r="BI36" i="17" a="1"/>
  <c r="BI36" i="17" s="1"/>
  <c r="BK36" i="17" a="1"/>
  <c r="BK36" i="17" s="1"/>
  <c r="BL36" i="17" a="1"/>
  <c r="BL36" i="17" s="1"/>
  <c r="BI37" i="17" a="1"/>
  <c r="BI37" i="17" s="1"/>
  <c r="BK37" i="17" a="1"/>
  <c r="BK37" i="17" s="1"/>
  <c r="BL37" i="17" a="1"/>
  <c r="BL37" i="17" s="1"/>
  <c r="BI38" i="17" a="1"/>
  <c r="BI38" i="17" s="1"/>
  <c r="BK38" i="17" a="1"/>
  <c r="BK38" i="17" s="1"/>
  <c r="BL38" i="17" a="1"/>
  <c r="BL38" i="17" s="1"/>
  <c r="BI39" i="17" a="1"/>
  <c r="BI39" i="17" s="1"/>
  <c r="BK39" i="17" a="1"/>
  <c r="BK39" i="17" s="1"/>
  <c r="BL39" i="17" a="1"/>
  <c r="BL39" i="17" s="1"/>
  <c r="BI41" i="17" a="1"/>
  <c r="BI41" i="17" s="1"/>
  <c r="BK41" i="17" a="1"/>
  <c r="BK41" i="17" s="1"/>
  <c r="BL41" i="17" a="1"/>
  <c r="BL41" i="17" s="1"/>
  <c r="BI42" i="17" a="1"/>
  <c r="BI42" i="17" s="1"/>
  <c r="BK42" i="17" a="1"/>
  <c r="BK42" i="17" s="1"/>
  <c r="BL42" i="17" a="1"/>
  <c r="BL42" i="17" s="1"/>
  <c r="BI43" i="17" a="1"/>
  <c r="BI43" i="17" s="1"/>
  <c r="BK43" i="17" a="1"/>
  <c r="BK43" i="17" s="1"/>
  <c r="BL43" i="17" a="1"/>
  <c r="BL43" i="17"/>
  <c r="BI44" i="17" a="1"/>
  <c r="BI44" i="17" s="1"/>
  <c r="BK44" i="17" a="1"/>
  <c r="BK44" i="17" s="1"/>
  <c r="BL44" i="17" a="1"/>
  <c r="BL44" i="17" s="1"/>
  <c r="BI45" i="17" a="1"/>
  <c r="BI45" i="17" s="1"/>
  <c r="BK45" i="17" a="1"/>
  <c r="BK45" i="17" s="1"/>
  <c r="BL45" i="17" a="1"/>
  <c r="BL45" i="17" s="1"/>
  <c r="BI46" i="17" a="1"/>
  <c r="BI46" i="17" s="1"/>
  <c r="BK46" i="17" a="1"/>
  <c r="BK46" i="17" s="1"/>
  <c r="BL46" i="17" a="1"/>
  <c r="BL46" i="17" s="1"/>
  <c r="BI48" i="17" a="1"/>
  <c r="BI48" i="17" s="1"/>
  <c r="BK48" i="17" a="1"/>
  <c r="BK48" i="17" s="1"/>
  <c r="BL48" i="17" a="1"/>
  <c r="BL48" i="17" s="1"/>
  <c r="BI49" i="17" a="1"/>
  <c r="BI49" i="17" s="1"/>
  <c r="BK49" i="17" a="1"/>
  <c r="BK49" i="17" s="1"/>
  <c r="BL49" i="17" a="1"/>
  <c r="BL49" i="17" s="1"/>
  <c r="BI50" i="17" a="1"/>
  <c r="BI50" i="17" s="1"/>
  <c r="BK50" i="17" a="1"/>
  <c r="BK50" i="17" s="1"/>
  <c r="BL50" i="17" a="1"/>
  <c r="BL50" i="17" s="1"/>
  <c r="C7" i="20" a="1"/>
  <c r="C7" i="20" s="1"/>
  <c r="D7" i="20" a="1"/>
  <c r="D7" i="20" s="1"/>
  <c r="E7" i="20" a="1"/>
  <c r="E7" i="20" s="1"/>
  <c r="F7" i="20" a="1"/>
  <c r="F7" i="20" s="1"/>
  <c r="G7" i="20" a="1"/>
  <c r="G7" i="20" s="1"/>
  <c r="H7" i="20" a="1"/>
  <c r="H7" i="20" s="1"/>
  <c r="I7" i="20" a="1"/>
  <c r="I7" i="20" s="1"/>
  <c r="J7" i="20" a="1"/>
  <c r="J7" i="20" s="1"/>
  <c r="K7" i="20" a="1"/>
  <c r="K7" i="20" s="1"/>
  <c r="L7" i="20" a="1"/>
  <c r="L7" i="20" s="1"/>
  <c r="M7" i="20" a="1"/>
  <c r="M7" i="20" s="1"/>
  <c r="N7" i="20" a="1"/>
  <c r="N7" i="20" s="1"/>
  <c r="O7" i="20" a="1"/>
  <c r="O7" i="20" s="1"/>
  <c r="P7" i="20" a="1"/>
  <c r="P7" i="20" s="1"/>
  <c r="Q7" i="20" a="1"/>
  <c r="Q7" i="20" s="1"/>
  <c r="R7" i="20" a="1"/>
  <c r="R7" i="20" s="1"/>
  <c r="S7" i="20" a="1"/>
  <c r="S7" i="20" s="1"/>
  <c r="T7" i="20" a="1"/>
  <c r="T7" i="20" s="1"/>
  <c r="U7" i="20" a="1"/>
  <c r="U7" i="20" s="1"/>
  <c r="V7" i="20" a="1"/>
  <c r="V7" i="20" s="1"/>
  <c r="W7" i="20" a="1"/>
  <c r="W7" i="20" s="1"/>
  <c r="X7" i="20" a="1"/>
  <c r="X7" i="20" s="1"/>
  <c r="Y7" i="20" a="1"/>
  <c r="Y7" i="20" s="1"/>
  <c r="B7" i="20" a="1"/>
  <c r="B7" i="20" s="1"/>
  <c r="C4" i="20" a="1"/>
  <c r="C4" i="20" s="1"/>
  <c r="D4" i="20" a="1"/>
  <c r="D4" i="20" s="1"/>
  <c r="E4" i="20" a="1"/>
  <c r="E4" i="20" s="1"/>
  <c r="F4" i="20" a="1"/>
  <c r="F4" i="20" s="1"/>
  <c r="G4" i="20" a="1"/>
  <c r="G4" i="20" s="1"/>
  <c r="H4" i="20" a="1"/>
  <c r="H4" i="20" s="1"/>
  <c r="I4" i="20" a="1"/>
  <c r="I4" i="20" s="1"/>
  <c r="J4" i="20" a="1"/>
  <c r="J4" i="20" s="1"/>
  <c r="K4" i="20" a="1"/>
  <c r="K4" i="20" s="1"/>
  <c r="L4" i="20" a="1"/>
  <c r="L4" i="20" s="1"/>
  <c r="M4" i="20" a="1"/>
  <c r="M4" i="20" s="1"/>
  <c r="N4" i="20" a="1"/>
  <c r="N4" i="20" s="1"/>
  <c r="O4" i="20" a="1"/>
  <c r="O4" i="20" s="1"/>
  <c r="P4" i="20" a="1"/>
  <c r="P4" i="20" s="1"/>
  <c r="Q4" i="20" a="1"/>
  <c r="Q4" i="20" s="1"/>
  <c r="R4" i="20" a="1"/>
  <c r="R4" i="20" s="1"/>
  <c r="S4" i="20" a="1"/>
  <c r="S4" i="20" s="1"/>
  <c r="T4" i="20" a="1"/>
  <c r="T4" i="20" s="1"/>
  <c r="U4" i="20" a="1"/>
  <c r="U4" i="20" s="1"/>
  <c r="V4" i="20" a="1"/>
  <c r="V4" i="20" s="1"/>
  <c r="B4" i="20" a="1"/>
  <c r="B4" i="20" s="1"/>
  <c r="C10" i="20" a="1"/>
  <c r="C10" i="20" s="1"/>
  <c r="D10" i="20" a="1"/>
  <c r="D10" i="20" s="1"/>
  <c r="E10" i="20" a="1"/>
  <c r="E10" i="20"/>
  <c r="F10" i="20" a="1"/>
  <c r="F10" i="20"/>
  <c r="G10" i="20" a="1"/>
  <c r="G10" i="20" s="1"/>
  <c r="H10" i="20" a="1"/>
  <c r="H10" i="20" s="1"/>
  <c r="I10" i="20" a="1"/>
  <c r="I10" i="20" s="1"/>
  <c r="J10" i="20" a="1"/>
  <c r="J10" i="20" s="1"/>
  <c r="K10" i="20" a="1"/>
  <c r="K10" i="20" s="1"/>
  <c r="L10" i="20" a="1"/>
  <c r="L10" i="20" s="1"/>
  <c r="M10" i="20" a="1"/>
  <c r="M10" i="20"/>
  <c r="N10" i="20" a="1"/>
  <c r="N10" i="20" s="1"/>
  <c r="O10" i="20" a="1"/>
  <c r="O10" i="20" s="1"/>
  <c r="P10" i="20" a="1"/>
  <c r="P10" i="20" s="1"/>
  <c r="Q10" i="20" a="1"/>
  <c r="Q10" i="20" s="1"/>
  <c r="R10" i="20" a="1"/>
  <c r="R10" i="20" s="1"/>
  <c r="S10" i="20" a="1"/>
  <c r="S10" i="20" s="1"/>
  <c r="T10" i="20" a="1"/>
  <c r="T10" i="20" s="1"/>
  <c r="U10" i="20" a="1"/>
  <c r="U10" i="20" s="1"/>
  <c r="V10" i="20" a="1"/>
  <c r="V10" i="20" s="1"/>
  <c r="W10" i="20" a="1"/>
  <c r="W10" i="20"/>
  <c r="X10" i="20" a="1"/>
  <c r="X10" i="20" s="1"/>
  <c r="Y10" i="20" a="1"/>
  <c r="Y10" i="20" s="1"/>
  <c r="B10" i="20" a="1"/>
  <c r="B10" i="20" s="1"/>
  <c r="AY17" i="17" a="1"/>
  <c r="AZ17" i="17" a="1"/>
  <c r="BA17" i="17" a="1"/>
  <c r="BB17" i="17" a="1"/>
  <c r="BC17" i="17" a="1"/>
  <c r="BC17" i="17" l="1"/>
  <c r="BB17" i="17"/>
  <c r="BA17" i="17"/>
  <c r="AZ17" i="17"/>
  <c r="AY17" i="17"/>
  <c r="BL11" i="17" a="1"/>
  <c r="BL11" i="17" s="1"/>
  <c r="BI9" i="17" a="1"/>
  <c r="BI9" i="17" s="1"/>
  <c r="BK11" i="17" a="1"/>
  <c r="BK11" i="17" s="1"/>
  <c r="BL35" i="17" a="1"/>
  <c r="BL35" i="17" s="1"/>
  <c r="BK35" i="17" a="1"/>
  <c r="BK35" i="17" s="1"/>
  <c r="BL23" i="17" a="1"/>
  <c r="BL23" i="17" s="1"/>
  <c r="BK23" i="17" a="1"/>
  <c r="BK23" i="17" s="1"/>
  <c r="BL47" i="17" a="1"/>
  <c r="BL47" i="17" s="1"/>
  <c r="U9" i="17"/>
  <c r="BK47" i="17" a="1"/>
  <c r="BK47" i="17" s="1"/>
  <c r="BI53" i="17" a="1"/>
  <c r="BI53" i="17" s="1"/>
  <c r="BL52" i="17" a="1"/>
  <c r="BL52" i="17" s="1"/>
  <c r="BL53" i="17" a="1"/>
  <c r="BL53" i="17" s="1"/>
  <c r="BK52" i="17" a="1"/>
  <c r="BK52" i="17" s="1"/>
  <c r="BK53" i="17" a="1"/>
  <c r="BK53" i="17" s="1"/>
  <c r="BL28" i="17" a="1"/>
  <c r="BL28" i="17" s="1"/>
  <c r="BL40" i="17" a="1"/>
  <c r="BL40" i="17" s="1"/>
  <c r="BK40" i="17" a="1"/>
  <c r="BK40" i="17" s="1"/>
  <c r="BL16" i="17" a="1"/>
  <c r="BL16" i="17" s="1"/>
  <c r="T6" i="17" s="1"/>
  <c r="BK16" i="17" a="1"/>
  <c r="BK16" i="17" s="1"/>
  <c r="R6" i="17"/>
  <c r="F76" i="12"/>
  <c r="G76" i="12" s="1"/>
  <c r="H76" i="12" s="1"/>
  <c r="F77" i="12"/>
  <c r="G77" i="12" s="1"/>
  <c r="H77" i="12" s="1"/>
  <c r="F79" i="12"/>
  <c r="G79" i="12" s="1"/>
  <c r="H79" i="12" s="1"/>
  <c r="F80" i="12"/>
  <c r="G80" i="12" s="1"/>
  <c r="H80" i="12" s="1"/>
  <c r="F81" i="12"/>
  <c r="G81" i="12" s="1"/>
  <c r="H81" i="12" s="1"/>
  <c r="F82" i="12"/>
  <c r="G82" i="12" s="1"/>
  <c r="H82" i="12" s="1"/>
  <c r="F84" i="12"/>
  <c r="G84" i="12" s="1"/>
  <c r="H84" i="12" s="1"/>
  <c r="F85" i="12"/>
  <c r="G85" i="12" s="1"/>
  <c r="H85" i="12" s="1"/>
  <c r="F86" i="12"/>
  <c r="G86" i="12" s="1"/>
  <c r="H86" i="12" s="1"/>
  <c r="F87" i="12"/>
  <c r="G87" i="12" s="1"/>
  <c r="H87" i="12" s="1"/>
  <c r="F72" i="12"/>
  <c r="G72" i="12" s="1"/>
  <c r="H72" i="12" s="1"/>
  <c r="F73" i="12"/>
  <c r="G73" i="12" s="1"/>
  <c r="H73" i="12" s="1"/>
  <c r="F74" i="12"/>
  <c r="G74" i="12" s="1"/>
  <c r="H74" i="12" s="1"/>
  <c r="F71" i="12"/>
  <c r="G71" i="12" s="1"/>
  <c r="H71" i="12" s="1"/>
  <c r="AM63" i="10"/>
  <c r="AM62" i="10"/>
  <c r="DE13" i="10" a="1"/>
  <c r="DE13" i="10" s="1"/>
  <c r="CZ13" i="10" a="1"/>
  <c r="CZ13" i="10" s="1"/>
  <c r="DA13" i="10" a="1"/>
  <c r="DA13" i="10" s="1"/>
  <c r="DB13" i="10" a="1"/>
  <c r="DB13" i="10" s="1"/>
  <c r="DC13" i="10" a="1"/>
  <c r="DC13" i="10" s="1"/>
  <c r="DD13" i="10" a="1"/>
  <c r="DD13" i="10" s="1"/>
  <c r="Z3" i="10"/>
  <c r="AA3" i="10"/>
  <c r="AD3" i="10" s="1" a="1"/>
  <c r="AD3" i="10" s="1"/>
  <c r="DE8" i="10" a="1"/>
  <c r="DE8" i="10" s="1"/>
  <c r="Z50" i="10"/>
  <c r="Z51" i="10"/>
  <c r="Z52" i="10"/>
  <c r="Z53" i="10"/>
  <c r="Z54" i="10"/>
  <c r="AA4" i="10"/>
  <c r="AD4" i="10" s="1" a="1"/>
  <c r="AD4" i="10" s="1"/>
  <c r="AI4" i="10" s="1"/>
  <c r="AA5" i="10"/>
  <c r="AD5" i="10" s="1" a="1"/>
  <c r="AD5" i="10" s="1"/>
  <c r="AA6" i="10"/>
  <c r="AD6" i="10" s="1" a="1"/>
  <c r="AD6" i="10" s="1"/>
  <c r="AA7" i="10"/>
  <c r="AD7" i="10" s="1" a="1"/>
  <c r="AD7" i="10" s="1"/>
  <c r="AA8" i="10"/>
  <c r="AD8" i="10" s="1" a="1"/>
  <c r="AD8" i="10" s="1"/>
  <c r="AA9" i="10"/>
  <c r="AD9" i="10" s="1" a="1"/>
  <c r="AD9" i="10" s="1"/>
  <c r="AG9" i="10" s="1"/>
  <c r="AA10" i="10"/>
  <c r="AD10" i="10" s="1" a="1"/>
  <c r="AD10" i="10" s="1"/>
  <c r="AA11" i="10"/>
  <c r="AD11" i="10" s="1" a="1"/>
  <c r="AD11" i="10" s="1"/>
  <c r="AA12" i="10"/>
  <c r="AD12" i="10" s="1" a="1"/>
  <c r="AD12" i="10" s="1"/>
  <c r="AI12" i="10" s="1"/>
  <c r="AA13" i="10"/>
  <c r="AD13" i="10" s="1" a="1"/>
  <c r="AD13" i="10" s="1"/>
  <c r="AG13" i="10" s="1"/>
  <c r="AA14" i="10"/>
  <c r="AD14" i="10" s="1" a="1"/>
  <c r="AD14" i="10" s="1"/>
  <c r="AA15" i="10"/>
  <c r="AD15" i="10" s="1" a="1"/>
  <c r="AD15" i="10" s="1"/>
  <c r="AG15" i="10" s="1"/>
  <c r="AA16" i="10"/>
  <c r="AD16" i="10" s="1" a="1"/>
  <c r="AD16" i="10" s="1"/>
  <c r="AA17" i="10"/>
  <c r="AD17" i="10" s="1" a="1"/>
  <c r="AD17" i="10" s="1"/>
  <c r="AA18" i="10"/>
  <c r="AD18" i="10" s="1" a="1"/>
  <c r="AD18" i="10" s="1"/>
  <c r="AA19" i="10"/>
  <c r="AD19" i="10" s="1" a="1"/>
  <c r="AD19" i="10" s="1"/>
  <c r="AA20" i="10"/>
  <c r="AD20" i="10" s="1" a="1"/>
  <c r="AD20" i="10" s="1"/>
  <c r="AA21" i="10"/>
  <c r="AD21" i="10" s="1" a="1"/>
  <c r="AD21" i="10" s="1"/>
  <c r="AA22" i="10"/>
  <c r="AD22" i="10" s="1" a="1"/>
  <c r="AD22" i="10" s="1"/>
  <c r="AA23" i="10"/>
  <c r="AD23" i="10" s="1" a="1"/>
  <c r="AD23" i="10" s="1"/>
  <c r="AA24" i="10"/>
  <c r="AD24" i="10" s="1" a="1"/>
  <c r="AD24" i="10" s="1"/>
  <c r="AA25" i="10"/>
  <c r="AD25" i="10" s="1" a="1"/>
  <c r="AD25" i="10" s="1"/>
  <c r="AA26" i="10"/>
  <c r="AD26" i="10" s="1" a="1"/>
  <c r="AD26" i="10" s="1"/>
  <c r="AA27" i="10"/>
  <c r="AD27" i="10" s="1" a="1"/>
  <c r="AD27" i="10" s="1"/>
  <c r="AG27" i="10" s="1"/>
  <c r="AA28" i="10"/>
  <c r="AD28" i="10" s="1" a="1"/>
  <c r="AD28" i="10" s="1"/>
  <c r="AA29" i="10"/>
  <c r="AD29" i="10" s="1" a="1"/>
  <c r="AD29" i="10" s="1"/>
  <c r="AA30" i="10"/>
  <c r="AD30" i="10" s="1" a="1"/>
  <c r="AD30" i="10" s="1"/>
  <c r="AA31" i="10"/>
  <c r="AD31" i="10" s="1" a="1"/>
  <c r="AD31" i="10" s="1"/>
  <c r="AA32" i="10"/>
  <c r="AD32" i="10" s="1" a="1"/>
  <c r="AD32" i="10" s="1"/>
  <c r="AA33" i="10"/>
  <c r="AD33" i="10" s="1" a="1"/>
  <c r="AD33" i="10" s="1"/>
  <c r="AA34" i="10"/>
  <c r="AD34" i="10" s="1" a="1"/>
  <c r="AD34" i="10" s="1"/>
  <c r="AA35" i="10"/>
  <c r="AD35" i="10" s="1" a="1"/>
  <c r="AD35" i="10" s="1"/>
  <c r="AA36" i="10"/>
  <c r="AD36" i="10" s="1" a="1"/>
  <c r="AD36" i="10" s="1"/>
  <c r="AA37" i="10"/>
  <c r="AD37" i="10" s="1" a="1"/>
  <c r="AD37" i="10" s="1"/>
  <c r="AA38" i="10"/>
  <c r="AD38" i="10" s="1" a="1"/>
  <c r="AD38" i="10" s="1"/>
  <c r="AA39" i="10"/>
  <c r="AD39" i="10" s="1" a="1"/>
  <c r="AD39" i="10" s="1"/>
  <c r="AG39" i="10" s="1"/>
  <c r="AA40" i="10"/>
  <c r="AD40" i="10" s="1" a="1"/>
  <c r="AD40" i="10" s="1"/>
  <c r="AA41" i="10"/>
  <c r="AD41" i="10" s="1" a="1"/>
  <c r="AD41" i="10" s="1"/>
  <c r="AA42" i="10"/>
  <c r="AD42" i="10" s="1" a="1"/>
  <c r="AD42" i="10" s="1"/>
  <c r="AA43" i="10"/>
  <c r="AD43" i="10" s="1" a="1"/>
  <c r="AD43" i="10" s="1"/>
  <c r="AA44" i="10"/>
  <c r="AD44" i="10" s="1" a="1"/>
  <c r="AD44" i="10" s="1"/>
  <c r="AA45" i="10"/>
  <c r="AD45" i="10" s="1" a="1"/>
  <c r="AD45" i="10" s="1"/>
  <c r="AA46" i="10"/>
  <c r="AD46" i="10" s="1" a="1"/>
  <c r="AD46" i="10" s="1"/>
  <c r="AA47" i="10"/>
  <c r="AD47" i="10" s="1" a="1"/>
  <c r="AD47" i="10" s="1"/>
  <c r="AA48" i="10"/>
  <c r="AD48" i="10" s="1" a="1"/>
  <c r="AD48" i="10" s="1"/>
  <c r="AA49" i="10"/>
  <c r="AA50" i="10"/>
  <c r="AA51" i="10"/>
  <c r="AA52" i="10"/>
  <c r="AA53" i="10"/>
  <c r="AA54" i="10"/>
  <c r="K30" i="9" a="1"/>
  <c r="K30" i="9" s="1"/>
  <c r="L30" i="9" a="1"/>
  <c r="L30" i="9" s="1"/>
  <c r="M30" i="9" a="1"/>
  <c r="M30" i="9" s="1"/>
  <c r="K52" i="9" a="1"/>
  <c r="K52" i="9" s="1"/>
  <c r="L52" i="9" a="1"/>
  <c r="L52" i="9" s="1"/>
  <c r="M52" i="9" a="1"/>
  <c r="M52" i="9" s="1"/>
  <c r="K48" i="9" a="1"/>
  <c r="K48" i="9" s="1"/>
  <c r="L48" i="9" a="1"/>
  <c r="L48" i="9" s="1"/>
  <c r="M48" i="9" a="1"/>
  <c r="M48" i="9" s="1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0" i="9"/>
  <c r="I26" i="9"/>
  <c r="I25" i="9"/>
  <c r="I24" i="9"/>
  <c r="I23" i="9"/>
  <c r="I22" i="9"/>
  <c r="I21" i="9"/>
  <c r="I20" i="9"/>
  <c r="I19" i="9"/>
  <c r="I31" i="9"/>
  <c r="I29" i="9"/>
  <c r="I28" i="9"/>
  <c r="I27" i="9"/>
  <c r="I18" i="9"/>
  <c r="I17" i="9"/>
  <c r="I16" i="9"/>
  <c r="I15" i="9"/>
  <c r="I14" i="9"/>
  <c r="I13" i="9"/>
  <c r="I12" i="9"/>
  <c r="I11" i="9"/>
  <c r="B11" i="12"/>
  <c r="B12" i="12"/>
  <c r="B13" i="12"/>
  <c r="B14" i="12"/>
  <c r="M12" i="12" a="1"/>
  <c r="M12" i="12" s="1"/>
  <c r="N12" i="12" s="1"/>
  <c r="O12" i="12" s="1" a="1"/>
  <c r="O12" i="12" s="1"/>
  <c r="M13" i="12" a="1"/>
  <c r="M13" i="12" s="1"/>
  <c r="N13" i="12" s="1"/>
  <c r="O13" i="12" s="1" a="1"/>
  <c r="O13" i="12" s="1"/>
  <c r="M14" i="12" a="1"/>
  <c r="M14" i="12" s="1"/>
  <c r="N14" i="12" s="1"/>
  <c r="O14" i="12" s="1" a="1"/>
  <c r="O14" i="12" s="1"/>
  <c r="M15" i="12" a="1"/>
  <c r="M15" i="12" s="1"/>
  <c r="N15" i="12" s="1"/>
  <c r="O15" i="12" s="1" a="1"/>
  <c r="O15" i="12" s="1"/>
  <c r="M16" i="12" a="1"/>
  <c r="M16" i="12" s="1"/>
  <c r="N16" i="12" s="1"/>
  <c r="M17" i="12" a="1"/>
  <c r="M17" i="12" s="1"/>
  <c r="M18" i="12" a="1"/>
  <c r="M18" i="12" s="1"/>
  <c r="M11" i="12" a="1"/>
  <c r="M11" i="12" s="1"/>
  <c r="N11" i="12" s="1"/>
  <c r="O11" i="12" s="1" a="1"/>
  <c r="O11" i="12" s="1"/>
  <c r="AY21" i="17" l="1" a="1"/>
  <c r="AY21" i="17" s="1"/>
  <c r="AY20" i="17" a="1"/>
  <c r="AY20" i="17" s="1"/>
  <c r="AY19" i="17" a="1"/>
  <c r="AY19" i="17" s="1"/>
  <c r="Q4" i="17" s="1"/>
  <c r="AY18" i="17" a="1"/>
  <c r="AY18" i="17" s="1"/>
  <c r="AZ21" i="17" a="1"/>
  <c r="AZ21" i="17" s="1"/>
  <c r="AZ20" i="17" a="1"/>
  <c r="AZ20" i="17" s="1"/>
  <c r="AZ18" i="17" a="1"/>
  <c r="AZ18" i="17" s="1"/>
  <c r="AZ19" i="17" a="1"/>
  <c r="AZ19" i="17" s="1"/>
  <c r="K4" i="17" s="1"/>
  <c r="BA18" i="17" a="1"/>
  <c r="BA18" i="17" s="1"/>
  <c r="BA19" i="17" a="1"/>
  <c r="BA19" i="17" s="1"/>
  <c r="H4" i="17" s="1"/>
  <c r="BA21" i="17" a="1"/>
  <c r="BA21" i="17" s="1"/>
  <c r="BA20" i="17" a="1"/>
  <c r="BA20" i="17" s="1"/>
  <c r="BB19" i="17" a="1"/>
  <c r="BB19" i="17" s="1"/>
  <c r="N4" i="17" s="1"/>
  <c r="BB18" i="17" a="1"/>
  <c r="BB18" i="17" s="1"/>
  <c r="BB20" i="17" a="1"/>
  <c r="BB20" i="17" s="1"/>
  <c r="BB21" i="17" a="1"/>
  <c r="BB21" i="17" s="1"/>
  <c r="BC20" i="17" a="1"/>
  <c r="BC20" i="17" s="1"/>
  <c r="BC21" i="17" a="1"/>
  <c r="BC21" i="17" s="1"/>
  <c r="BC19" i="17" a="1"/>
  <c r="BC19" i="17" s="1"/>
  <c r="T4" i="17" s="1"/>
  <c r="BC18" i="17" a="1"/>
  <c r="BC18" i="17" s="1"/>
  <c r="AM3" i="10"/>
  <c r="AC3" i="10" a="1"/>
  <c r="AC3" i="10" s="1"/>
  <c r="AK3" i="10" s="1"/>
  <c r="AB3" i="10" a="1"/>
  <c r="AB3" i="10" s="1"/>
  <c r="AI3" i="10"/>
  <c r="AG3" i="10"/>
  <c r="AE3" i="10" a="1"/>
  <c r="AE3" i="10" s="1"/>
  <c r="AG38" i="10"/>
  <c r="AG26" i="10"/>
  <c r="AG14" i="10"/>
  <c r="AI38" i="10"/>
  <c r="AG37" i="10"/>
  <c r="AG25" i="10"/>
  <c r="AI37" i="10"/>
  <c r="AG48" i="10"/>
  <c r="AG36" i="10"/>
  <c r="AG24" i="10"/>
  <c r="AG12" i="10"/>
  <c r="AI26" i="10"/>
  <c r="AG47" i="10"/>
  <c r="AG35" i="10"/>
  <c r="AG23" i="10"/>
  <c r="AG11" i="10"/>
  <c r="AI25" i="10"/>
  <c r="AG46" i="10"/>
  <c r="AG34" i="10"/>
  <c r="AG22" i="10"/>
  <c r="AG10" i="10"/>
  <c r="AI14" i="10"/>
  <c r="AG45" i="10"/>
  <c r="AG33" i="10"/>
  <c r="AG21" i="10"/>
  <c r="AI13" i="10"/>
  <c r="AG44" i="10"/>
  <c r="AG32" i="10"/>
  <c r="AG20" i="10"/>
  <c r="AG8" i="10"/>
  <c r="AG43" i="10"/>
  <c r="AG31" i="10"/>
  <c r="AG19" i="10"/>
  <c r="AG7" i="10"/>
  <c r="AG42" i="10"/>
  <c r="AG30" i="10"/>
  <c r="AG18" i="10"/>
  <c r="AG6" i="10"/>
  <c r="AG41" i="10"/>
  <c r="AG29" i="10"/>
  <c r="AG17" i="10"/>
  <c r="AG5" i="10"/>
  <c r="AG40" i="10"/>
  <c r="AG28" i="10"/>
  <c r="AG16" i="10"/>
  <c r="AG4" i="10"/>
  <c r="AI48" i="10"/>
  <c r="AI36" i="10"/>
  <c r="AI24" i="10"/>
  <c r="AI47" i="10"/>
  <c r="AI35" i="10"/>
  <c r="AI23" i="10"/>
  <c r="AI46" i="10"/>
  <c r="AI34" i="10"/>
  <c r="AI22" i="10"/>
  <c r="AI11" i="10"/>
  <c r="AI45" i="10"/>
  <c r="AI33" i="10"/>
  <c r="AI21" i="10"/>
  <c r="AI10" i="10"/>
  <c r="AI44" i="10"/>
  <c r="AI32" i="10"/>
  <c r="AI20" i="10"/>
  <c r="AI9" i="10"/>
  <c r="AI43" i="10"/>
  <c r="AI31" i="10"/>
  <c r="AI19" i="10"/>
  <c r="AI8" i="10"/>
  <c r="AI42" i="10"/>
  <c r="AI30" i="10"/>
  <c r="AI18" i="10"/>
  <c r="AI7" i="10"/>
  <c r="AI41" i="10"/>
  <c r="AI29" i="10"/>
  <c r="AI17" i="10"/>
  <c r="AI6" i="10"/>
  <c r="AI40" i="10"/>
  <c r="AI28" i="10"/>
  <c r="AI16" i="10"/>
  <c r="AI5" i="10"/>
  <c r="AI39" i="10"/>
  <c r="AI27" i="10"/>
  <c r="AI15" i="10"/>
  <c r="AM4" i="10"/>
  <c r="AM5" i="10"/>
  <c r="AO10" i="10"/>
  <c r="DE10" i="10" s="1"/>
  <c r="AO14" i="10"/>
  <c r="DD14" i="10" s="1"/>
  <c r="BQ63" i="17"/>
  <c r="BQ62" i="17"/>
  <c r="BQ61" i="17"/>
  <c r="BQ60" i="17"/>
  <c r="BQ59" i="17"/>
  <c r="BQ58" i="17"/>
  <c r="BQ57" i="17"/>
  <c r="BQ56" i="17"/>
  <c r="BT55" i="17"/>
  <c r="BR55" i="17"/>
  <c r="BQ55" i="17"/>
  <c r="BO55" i="17"/>
  <c r="BT54" i="17"/>
  <c r="BR54" i="17"/>
  <c r="BQ54" i="17"/>
  <c r="BO54" i="17"/>
  <c r="BT53" i="17"/>
  <c r="BR53" i="17"/>
  <c r="BQ53" i="17"/>
  <c r="BO53" i="17"/>
  <c r="BT52" i="17"/>
  <c r="BR52" i="17"/>
  <c r="BQ52" i="17"/>
  <c r="BO52" i="17"/>
  <c r="BT51" i="17"/>
  <c r="BR51" i="17"/>
  <c r="BO51" i="17"/>
  <c r="BG50" i="17"/>
  <c r="BQ51" i="17" s="1"/>
  <c r="BG49" i="17"/>
  <c r="BQ50" i="17" s="1"/>
  <c r="BG48" i="17"/>
  <c r="BQ49" i="17" s="1"/>
  <c r="BG47" i="17"/>
  <c r="BQ48" i="17" s="1"/>
  <c r="BG46" i="17"/>
  <c r="BQ47" i="17" s="1"/>
  <c r="BG45" i="17"/>
  <c r="BQ46" i="17" s="1"/>
  <c r="BG44" i="17"/>
  <c r="BQ45" i="17" s="1"/>
  <c r="BG43" i="17"/>
  <c r="BQ44" i="17" s="1"/>
  <c r="BG42" i="17"/>
  <c r="BQ43" i="17" s="1"/>
  <c r="BG41" i="17"/>
  <c r="BQ42" i="17" s="1"/>
  <c r="BG40" i="17"/>
  <c r="BQ41" i="17" s="1"/>
  <c r="BG39" i="17"/>
  <c r="BQ40" i="17" s="1"/>
  <c r="BG38" i="17"/>
  <c r="BQ39" i="17" s="1"/>
  <c r="BG37" i="17"/>
  <c r="BQ38" i="17" s="1"/>
  <c r="BG36" i="17"/>
  <c r="BQ37" i="17" s="1"/>
  <c r="BG35" i="17"/>
  <c r="BQ36" i="17" s="1"/>
  <c r="BG34" i="17"/>
  <c r="BQ35" i="17" s="1"/>
  <c r="BG33" i="17"/>
  <c r="BQ34" i="17" s="1"/>
  <c r="BG32" i="17"/>
  <c r="BQ33" i="17" s="1"/>
  <c r="BG31" i="17"/>
  <c r="BQ32" i="17" s="1"/>
  <c r="BG30" i="17"/>
  <c r="BQ31" i="17" s="1"/>
  <c r="BG29" i="17"/>
  <c r="BQ30" i="17" s="1"/>
  <c r="BG28" i="17"/>
  <c r="BQ29" i="17" s="1"/>
  <c r="BG27" i="17"/>
  <c r="BQ28" i="17" s="1"/>
  <c r="BG26" i="17"/>
  <c r="BQ27" i="17" s="1"/>
  <c r="BG25" i="17"/>
  <c r="BQ26" i="17" s="1"/>
  <c r="BG24" i="17"/>
  <c r="BQ25" i="17" s="1"/>
  <c r="BG23" i="17"/>
  <c r="BQ24" i="17" s="1"/>
  <c r="BG22" i="17"/>
  <c r="BQ22" i="17" s="1"/>
  <c r="BG21" i="17"/>
  <c r="BQ21" i="17" s="1"/>
  <c r="BG20" i="17"/>
  <c r="BQ20" i="17" s="1"/>
  <c r="BG19" i="17"/>
  <c r="BQ19" i="17" s="1"/>
  <c r="BG18" i="17"/>
  <c r="BQ18" i="17" s="1"/>
  <c r="BG17" i="17"/>
  <c r="BQ17" i="17" s="1"/>
  <c r="BG16" i="17"/>
  <c r="BQ16" i="17" s="1"/>
  <c r="AX16" i="17" a="1"/>
  <c r="AX16" i="17" s="1"/>
  <c r="AW16" i="17" a="1"/>
  <c r="AW16" i="17" s="1"/>
  <c r="AV16" i="17" a="1"/>
  <c r="AV16" i="17" s="1"/>
  <c r="AU16" i="17" a="1"/>
  <c r="AU16" i="17" s="1"/>
  <c r="AT16" i="17" a="1"/>
  <c r="AT16" i="17" s="1"/>
  <c r="AS16" i="17" a="1"/>
  <c r="AS16" i="17" s="1"/>
  <c r="AR16" i="17" a="1"/>
  <c r="AR16" i="17" s="1"/>
  <c r="AQ16" i="17" a="1"/>
  <c r="AQ16" i="17" s="1"/>
  <c r="AP16" i="17" a="1"/>
  <c r="AP16" i="17" s="1"/>
  <c r="AO16" i="17" a="1"/>
  <c r="AO16" i="17" s="1"/>
  <c r="AN16" i="17" a="1"/>
  <c r="AN16" i="17" s="1"/>
  <c r="AM16" i="17" a="1"/>
  <c r="AM16" i="17" s="1"/>
  <c r="AL16" i="17" a="1"/>
  <c r="AL16" i="17" s="1"/>
  <c r="AK16" i="17" a="1"/>
  <c r="AK16" i="17" s="1"/>
  <c r="AJ16" i="17" a="1"/>
  <c r="AJ16" i="17" s="1"/>
  <c r="AI16" i="17" a="1"/>
  <c r="AI16" i="17" s="1"/>
  <c r="AH16" i="17" a="1"/>
  <c r="AH16" i="17" s="1"/>
  <c r="AG16" i="17" a="1"/>
  <c r="AG16" i="17" s="1"/>
  <c r="AF16" i="17" a="1"/>
  <c r="AF16" i="17" s="1"/>
  <c r="AE16" i="17" a="1"/>
  <c r="AE16" i="17" s="1"/>
  <c r="AD16" i="17" a="1"/>
  <c r="AD16" i="17" s="1"/>
  <c r="AC16" i="17" a="1"/>
  <c r="AC16" i="17" s="1"/>
  <c r="AB16" i="17" a="1"/>
  <c r="AB16" i="17" s="1"/>
  <c r="AA16" i="17" a="1"/>
  <c r="AA16" i="17" s="1"/>
  <c r="Z16" i="17" a="1"/>
  <c r="Z16" i="17" s="1"/>
  <c r="Y16" i="17" a="1"/>
  <c r="Y16" i="17" s="1"/>
  <c r="X16" i="17" a="1"/>
  <c r="X16" i="17" s="1"/>
  <c r="W16" i="17" a="1"/>
  <c r="W16" i="17" s="1"/>
  <c r="V16" i="17" a="1"/>
  <c r="V16" i="17" s="1"/>
  <c r="U16" i="17" a="1"/>
  <c r="U16" i="17" s="1"/>
  <c r="T16" i="17" a="1"/>
  <c r="T16" i="17" s="1"/>
  <c r="S16" i="17" a="1"/>
  <c r="S16" i="17" s="1"/>
  <c r="R16" i="17" a="1"/>
  <c r="R16" i="17" s="1"/>
  <c r="Q16" i="17" a="1"/>
  <c r="Q16" i="17" s="1"/>
  <c r="P16" i="17" a="1"/>
  <c r="P16" i="17" s="1"/>
  <c r="O16" i="17" a="1"/>
  <c r="O16" i="17" s="1"/>
  <c r="N16" i="17" a="1"/>
  <c r="N16" i="17" s="1"/>
  <c r="M16" i="17" a="1"/>
  <c r="M16" i="17" s="1"/>
  <c r="L16" i="17" a="1"/>
  <c r="L16" i="17" s="1"/>
  <c r="K16" i="17" a="1"/>
  <c r="K16" i="17" s="1"/>
  <c r="J16" i="17" a="1"/>
  <c r="J16" i="17" s="1"/>
  <c r="I16" i="17" a="1"/>
  <c r="I16" i="17" s="1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BG15" i="17"/>
  <c r="BQ15" i="17" s="1"/>
  <c r="BG14" i="17"/>
  <c r="BQ14" i="17" s="1"/>
  <c r="BG13" i="17"/>
  <c r="BQ13" i="17" s="1"/>
  <c r="BG12" i="17"/>
  <c r="BQ12" i="17" s="1"/>
  <c r="BG11" i="17"/>
  <c r="BQ11" i="17" s="1"/>
  <c r="BG10" i="17"/>
  <c r="BQ10" i="17" s="1"/>
  <c r="BG9" i="17"/>
  <c r="BQ9" i="17" s="1"/>
  <c r="BG8" i="17"/>
  <c r="BQ8" i="17" s="1"/>
  <c r="BG7" i="17"/>
  <c r="BQ7" i="17" s="1"/>
  <c r="BG6" i="17"/>
  <c r="BQ6" i="17" s="1"/>
  <c r="BH5" i="17"/>
  <c r="BG5" i="17"/>
  <c r="BQ5" i="17" s="1"/>
  <c r="BH4" i="17"/>
  <c r="BG4" i="17"/>
  <c r="BQ4" i="17" s="1"/>
  <c r="H22" i="12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H27" i="12"/>
  <c r="M31" i="12"/>
  <c r="N31" i="12" s="1"/>
  <c r="AC16" i="10" a="1"/>
  <c r="AC16" i="10" s="1"/>
  <c r="AK16" i="10" s="1"/>
  <c r="AC17" i="10" a="1"/>
  <c r="AC17" i="10" s="1"/>
  <c r="AK17" i="10" s="1"/>
  <c r="AC18" i="10" a="1"/>
  <c r="AC18" i="10" s="1"/>
  <c r="AK18" i="10" s="1"/>
  <c r="AC19" i="10" a="1"/>
  <c r="AC19" i="10" s="1"/>
  <c r="AK19" i="10" s="1"/>
  <c r="AC20" i="10" a="1"/>
  <c r="AC20" i="10" s="1"/>
  <c r="AK20" i="10" s="1"/>
  <c r="AC21" i="10" a="1"/>
  <c r="AC21" i="10" s="1"/>
  <c r="AK21" i="10" s="1"/>
  <c r="AC22" i="10" a="1"/>
  <c r="AC22" i="10" s="1"/>
  <c r="AK22" i="10" s="1"/>
  <c r="AC23" i="10" a="1"/>
  <c r="AC23" i="10" s="1"/>
  <c r="AK23" i="10" s="1"/>
  <c r="AC24" i="10" a="1"/>
  <c r="AC24" i="10" s="1"/>
  <c r="AK24" i="10" s="1"/>
  <c r="AC25" i="10" a="1"/>
  <c r="AC25" i="10" s="1"/>
  <c r="AK25" i="10" s="1"/>
  <c r="AC26" i="10" a="1"/>
  <c r="AC26" i="10" s="1"/>
  <c r="AK26" i="10" s="1"/>
  <c r="AC27" i="10" a="1"/>
  <c r="AC27" i="10" s="1"/>
  <c r="AK27" i="10" s="1"/>
  <c r="AC28" i="10" a="1"/>
  <c r="AC28" i="10" s="1"/>
  <c r="AK28" i="10" s="1"/>
  <c r="AC29" i="10" a="1"/>
  <c r="AC29" i="10" s="1"/>
  <c r="AK29" i="10" s="1"/>
  <c r="AC30" i="10" a="1"/>
  <c r="AC30" i="10" s="1"/>
  <c r="AK30" i="10" s="1"/>
  <c r="AC31" i="10" a="1"/>
  <c r="AC31" i="10" s="1"/>
  <c r="AK31" i="10" s="1"/>
  <c r="AC32" i="10" a="1"/>
  <c r="AC32" i="10" s="1"/>
  <c r="AK32" i="10" s="1"/>
  <c r="AC33" i="10" a="1"/>
  <c r="AC33" i="10" s="1"/>
  <c r="AK33" i="10" s="1"/>
  <c r="AC34" i="10" a="1"/>
  <c r="AC34" i="10" s="1"/>
  <c r="AK34" i="10" s="1"/>
  <c r="AC35" i="10" a="1"/>
  <c r="AC35" i="10" s="1"/>
  <c r="AC36" i="10" a="1"/>
  <c r="AC36" i="10" s="1"/>
  <c r="AC37" i="10" a="1"/>
  <c r="AC37" i="10" s="1"/>
  <c r="AC38" i="10" a="1"/>
  <c r="AC38" i="10" s="1"/>
  <c r="AC39" i="10" a="1"/>
  <c r="AC39" i="10" s="1"/>
  <c r="AC40" i="10" a="1"/>
  <c r="AC40" i="10" s="1"/>
  <c r="AK40" i="10" s="1"/>
  <c r="AC41" i="10" a="1"/>
  <c r="AC41" i="10" s="1"/>
  <c r="AC42" i="10" a="1"/>
  <c r="AC42" i="10" s="1"/>
  <c r="AC43" i="10" a="1"/>
  <c r="AC43" i="10" s="1"/>
  <c r="AK43" i="10" s="1"/>
  <c r="AC4" i="10" a="1"/>
  <c r="AC4" i="10" s="1"/>
  <c r="AK4" i="10" s="1"/>
  <c r="AC5" i="10" a="1"/>
  <c r="AC5" i="10" s="1"/>
  <c r="AK5" i="10" s="1"/>
  <c r="AC6" i="10" a="1"/>
  <c r="AC6" i="10" s="1"/>
  <c r="AK6" i="10" s="1"/>
  <c r="AC7" i="10" a="1"/>
  <c r="AC7" i="10" s="1"/>
  <c r="AK7" i="10" s="1"/>
  <c r="AC8" i="10" a="1"/>
  <c r="AC8" i="10" s="1"/>
  <c r="AK8" i="10" s="1"/>
  <c r="AC9" i="10" a="1"/>
  <c r="AC9" i="10" s="1"/>
  <c r="AK9" i="10" s="1"/>
  <c r="AC10" i="10" a="1"/>
  <c r="AC10" i="10" s="1"/>
  <c r="AK10" i="10" s="1"/>
  <c r="AC11" i="10" a="1"/>
  <c r="AC11" i="10" s="1"/>
  <c r="AK11" i="10" s="1"/>
  <c r="AC12" i="10" a="1"/>
  <c r="AC12" i="10" s="1"/>
  <c r="AK12" i="10" s="1"/>
  <c r="AC13" i="10" a="1"/>
  <c r="AC13" i="10" s="1"/>
  <c r="AK13" i="10" s="1"/>
  <c r="AC14" i="10" a="1"/>
  <c r="AC14" i="10" s="1"/>
  <c r="AK14" i="10" s="1"/>
  <c r="AC15" i="10" a="1"/>
  <c r="AC15" i="10" s="1"/>
  <c r="AK15" i="10" s="1"/>
  <c r="E62" i="12"/>
  <c r="C62" i="12"/>
  <c r="B62" i="12"/>
  <c r="M43" i="12"/>
  <c r="N43" i="12" s="1"/>
  <c r="B63" i="12"/>
  <c r="C63" i="12"/>
  <c r="E63" i="12"/>
  <c r="B64" i="12"/>
  <c r="C64" i="12"/>
  <c r="E64" i="12"/>
  <c r="B66" i="12"/>
  <c r="B67" i="12"/>
  <c r="C66" i="12"/>
  <c r="C67" i="12"/>
  <c r="E66" i="12"/>
  <c r="E67" i="12"/>
  <c r="B65" i="12"/>
  <c r="C65" i="12"/>
  <c r="E65" i="12"/>
  <c r="B56" i="9"/>
  <c r="AF17" i="17" a="1"/>
  <c r="R17" i="17" a="1"/>
  <c r="AG17" i="17" a="1"/>
  <c r="E17" i="17" a="1"/>
  <c r="AO17" i="17" a="1"/>
  <c r="AA17" i="17" a="1"/>
  <c r="AV17" i="17" a="1"/>
  <c r="AX17" i="17" a="1"/>
  <c r="AH17" i="17" a="1"/>
  <c r="AE17" i="17" a="1"/>
  <c r="K17" i="17" a="1"/>
  <c r="AM17" i="17" a="1"/>
  <c r="AB17" i="17" a="1"/>
  <c r="F17" i="17" a="1"/>
  <c r="AC17" i="17" a="1"/>
  <c r="D17" i="17" a="1"/>
  <c r="Z17" i="17" a="1"/>
  <c r="AU17" i="17" a="1"/>
  <c r="I17" i="17" a="1"/>
  <c r="L17" i="17" a="1"/>
  <c r="AR17" i="17" a="1"/>
  <c r="Y17" i="17" a="1"/>
  <c r="J17" i="17" a="1"/>
  <c r="AW17" i="17" a="1"/>
  <c r="T17" i="17" a="1"/>
  <c r="S17" i="17" a="1"/>
  <c r="AI17" i="17" a="1"/>
  <c r="AQ17" i="17" a="1"/>
  <c r="AD17" i="17" a="1"/>
  <c r="AT17" i="17" a="1"/>
  <c r="O17" i="17" a="1"/>
  <c r="U17" i="17" a="1"/>
  <c r="H17" i="17" a="1"/>
  <c r="M17" i="17" a="1"/>
  <c r="W17" i="17" a="1"/>
  <c r="AN17" i="17" a="1"/>
  <c r="V17" i="17" a="1"/>
  <c r="N17" i="17" a="1"/>
  <c r="X17" i="17" a="1"/>
  <c r="AL17" i="17" a="1"/>
  <c r="G17" i="17" a="1"/>
  <c r="AK17" i="17" a="1"/>
  <c r="AJ17" i="17" a="1"/>
  <c r="Q17" i="17" a="1"/>
  <c r="AP17" i="17" a="1"/>
  <c r="P17" i="17" a="1"/>
  <c r="BI5" i="17" l="1" a="1"/>
  <c r="BI5" i="17" s="1"/>
  <c r="BK5" i="17" a="1"/>
  <c r="BK5" i="17" s="1"/>
  <c r="BR5" i="17" s="1"/>
  <c r="BL5" i="17" a="1"/>
  <c r="BL5" i="17" s="1"/>
  <c r="DE14" i="10"/>
  <c r="DE12" i="10" s="1"/>
  <c r="DA14" i="10"/>
  <c r="DB14" i="10"/>
  <c r="DC14" i="10"/>
  <c r="AM36" i="10"/>
  <c r="AK36" i="10"/>
  <c r="AM39" i="10"/>
  <c r="AK39" i="10"/>
  <c r="AM35" i="10"/>
  <c r="AK35" i="10"/>
  <c r="AM37" i="10"/>
  <c r="AK37" i="10"/>
  <c r="AM38" i="10"/>
  <c r="AK38" i="10"/>
  <c r="AM42" i="10"/>
  <c r="AK42" i="10"/>
  <c r="AM41" i="10"/>
  <c r="AK41" i="10"/>
  <c r="BO40" i="17"/>
  <c r="BL4" i="17" a="1"/>
  <c r="BL4" i="17" s="1"/>
  <c r="BR41" i="17"/>
  <c r="BT11" i="17"/>
  <c r="BR19" i="17"/>
  <c r="BR7" i="17"/>
  <c r="BR13" i="17"/>
  <c r="BR38" i="17"/>
  <c r="BT14" i="17"/>
  <c r="BO7" i="17"/>
  <c r="AB13" i="10" a="1"/>
  <c r="AB13" i="10" s="1"/>
  <c r="AE34" i="10" a="1"/>
  <c r="AE34" i="10" s="1"/>
  <c r="AB22" i="10" a="1"/>
  <c r="AB22" i="10" s="1"/>
  <c r="AB15" i="10" a="1"/>
  <c r="AB15" i="10" s="1"/>
  <c r="AB12" i="10" a="1"/>
  <c r="AB12" i="10" s="1"/>
  <c r="AB33" i="10" a="1"/>
  <c r="AB33" i="10" s="1"/>
  <c r="AB21" i="10" a="1"/>
  <c r="AB21" i="10" s="1"/>
  <c r="AB20" i="10" a="1"/>
  <c r="AB20" i="10" s="1"/>
  <c r="AB10" i="10" a="1"/>
  <c r="AB10" i="10" s="1"/>
  <c r="AB31" i="10" a="1"/>
  <c r="AB31" i="10" s="1"/>
  <c r="AB9" i="10" a="1"/>
  <c r="AB9" i="10" s="1"/>
  <c r="AB30" i="10" a="1"/>
  <c r="AB30" i="10" s="1"/>
  <c r="AB18" i="10" a="1"/>
  <c r="AB18" i="10" s="1"/>
  <c r="AB23" i="10" a="1"/>
  <c r="AB23" i="10" s="1"/>
  <c r="AB8" i="10" a="1"/>
  <c r="AB8" i="10" s="1"/>
  <c r="AB17" i="10" a="1"/>
  <c r="AB17" i="10" s="1"/>
  <c r="AB7" i="10" a="1"/>
  <c r="AB7" i="10" s="1"/>
  <c r="AB28" i="10" a="1"/>
  <c r="AB28" i="10" s="1"/>
  <c r="AE16" i="10" a="1"/>
  <c r="AE16" i="10" s="1"/>
  <c r="AB27" i="10" a="1"/>
  <c r="AB27" i="10" s="1"/>
  <c r="AB5" i="10" a="1"/>
  <c r="AB5" i="10" s="1"/>
  <c r="AB26" i="10" a="1"/>
  <c r="AB26" i="10" s="1"/>
  <c r="AB4" i="10" a="1"/>
  <c r="AB4" i="10" s="1"/>
  <c r="AB25" i="10" a="1"/>
  <c r="AB25" i="10" s="1"/>
  <c r="BK4" i="17" a="1"/>
  <c r="BK4" i="17" s="1"/>
  <c r="BR4" i="17" s="1"/>
  <c r="BR12" i="17"/>
  <c r="BT35" i="17"/>
  <c r="BO17" i="17"/>
  <c r="BQ23" i="17"/>
  <c r="BT21" i="17"/>
  <c r="BO19" i="17"/>
  <c r="BR8" i="17"/>
  <c r="BO42" i="17"/>
  <c r="BO9" i="17"/>
  <c r="BO30" i="17"/>
  <c r="BR42" i="17"/>
  <c r="BO28" i="17"/>
  <c r="BT40" i="17"/>
  <c r="BO16" i="17"/>
  <c r="BO18" i="17"/>
  <c r="BO20" i="17"/>
  <c r="BO22" i="17"/>
  <c r="BR28" i="17"/>
  <c r="BR30" i="17"/>
  <c r="BR40" i="17"/>
  <c r="BO5" i="17"/>
  <c r="BO10" i="17"/>
  <c r="BR16" i="17"/>
  <c r="BR18" i="17"/>
  <c r="BR20" i="17"/>
  <c r="BR22" i="17"/>
  <c r="BO38" i="17"/>
  <c r="BO8" i="17"/>
  <c r="BR10" i="17"/>
  <c r="BR14" i="17"/>
  <c r="BO23" i="17"/>
  <c r="BO29" i="17"/>
  <c r="BR29" i="17"/>
  <c r="BO39" i="17"/>
  <c r="BR17" i="17"/>
  <c r="BR21" i="17"/>
  <c r="BR39" i="17"/>
  <c r="AD17" i="17"/>
  <c r="Q17" i="17"/>
  <c r="AK17" i="17"/>
  <c r="AV17" i="17"/>
  <c r="AC17" i="17"/>
  <c r="I17" i="17"/>
  <c r="AL17" i="17"/>
  <c r="H17" i="17"/>
  <c r="X17" i="17"/>
  <c r="J17" i="17"/>
  <c r="R17" i="17"/>
  <c r="AA17" i="17"/>
  <c r="AM17" i="17"/>
  <c r="O17" i="17"/>
  <c r="P17" i="17"/>
  <c r="K17" i="17"/>
  <c r="AB17" i="17"/>
  <c r="AW17" i="17"/>
  <c r="AO17" i="17"/>
  <c r="T17" i="17"/>
  <c r="D17" i="17"/>
  <c r="E17" i="17"/>
  <c r="AP17" i="17"/>
  <c r="W17" i="17"/>
  <c r="AI17" i="17"/>
  <c r="AJ17" i="17"/>
  <c r="M17" i="17"/>
  <c r="AF17" i="17"/>
  <c r="AQ17" i="17"/>
  <c r="G17" i="17"/>
  <c r="L17" i="17"/>
  <c r="F17" i="17"/>
  <c r="N17" i="17"/>
  <c r="V17" i="17"/>
  <c r="AG17" i="17"/>
  <c r="U17" i="17"/>
  <c r="AE17" i="17"/>
  <c r="AX17" i="17"/>
  <c r="S17" i="17"/>
  <c r="AH17" i="17"/>
  <c r="AN17" i="17"/>
  <c r="AR17" i="17"/>
  <c r="AT17" i="17"/>
  <c r="Y17" i="17"/>
  <c r="Z17" i="17"/>
  <c r="AU17" i="17"/>
  <c r="BR15" i="17"/>
  <c r="BO15" i="17"/>
  <c r="BR6" i="17"/>
  <c r="BT6" i="17"/>
  <c r="BR43" i="17"/>
  <c r="BR11" i="17"/>
  <c r="BR23" i="17"/>
  <c r="BR35" i="17"/>
  <c r="BO43" i="17"/>
  <c r="BI4" i="17" a="1"/>
  <c r="BI4" i="17" s="1"/>
  <c r="BO4" i="17" s="1"/>
  <c r="BO12" i="17"/>
  <c r="BT27" i="17"/>
  <c r="BO34" i="17"/>
  <c r="BR9" i="17"/>
  <c r="BO14" i="17"/>
  <c r="BT26" i="17"/>
  <c r="BR26" i="17"/>
  <c r="BR27" i="17"/>
  <c r="BT13" i="17"/>
  <c r="BR25" i="17"/>
  <c r="BT25" i="17"/>
  <c r="BR34" i="17"/>
  <c r="BR37" i="17"/>
  <c r="BR33" i="17"/>
  <c r="BT33" i="17"/>
  <c r="BT37" i="17"/>
  <c r="BR24" i="17"/>
  <c r="BT24" i="17"/>
  <c r="BT31" i="17"/>
  <c r="BT44" i="17"/>
  <c r="BO32" i="17"/>
  <c r="BO36" i="17"/>
  <c r="BR31" i="17"/>
  <c r="BT41" i="17"/>
  <c r="BR44" i="17"/>
  <c r="BR32" i="17"/>
  <c r="BR36" i="17"/>
  <c r="AB36" i="10" a="1"/>
  <c r="AB36" i="10" s="1"/>
  <c r="AB35" i="10" a="1"/>
  <c r="AB35" i="10" s="1"/>
  <c r="AE41" i="10" a="1"/>
  <c r="AE41" i="10" s="1"/>
  <c r="AE39" i="10" a="1"/>
  <c r="AE39" i="10" s="1"/>
  <c r="AE40" i="10" a="1"/>
  <c r="AE40" i="10" s="1"/>
  <c r="AB40" i="10" a="1"/>
  <c r="AB40" i="10" s="1"/>
  <c r="AB43" i="10" a="1"/>
  <c r="AB43" i="10" s="1"/>
  <c r="AB41" i="10" a="1"/>
  <c r="AB41" i="10" s="1"/>
  <c r="AB42" i="10" a="1"/>
  <c r="AB42" i="10" s="1"/>
  <c r="AE43" i="10" a="1"/>
  <c r="AE43" i="10" s="1"/>
  <c r="AB39" i="10" a="1"/>
  <c r="AB39" i="10" s="1"/>
  <c r="AE42" i="10" a="1"/>
  <c r="AE42" i="10" s="1"/>
  <c r="AB37" i="10" a="1"/>
  <c r="AB37" i="10" s="1"/>
  <c r="AB32" i="10" a="1"/>
  <c r="AB32" i="10" s="1"/>
  <c r="AE26" i="10" a="1"/>
  <c r="AE26" i="10" s="1"/>
  <c r="AE21" i="10" a="1"/>
  <c r="AE21" i="10" s="1"/>
  <c r="AB19" i="10" a="1"/>
  <c r="AB19" i="10" s="1"/>
  <c r="AB14" i="10" a="1"/>
  <c r="AB14" i="10" s="1"/>
  <c r="AE8" i="10" a="1"/>
  <c r="AE8" i="10" s="1"/>
  <c r="AE31" i="10" a="1"/>
  <c r="AE31" i="10" s="1"/>
  <c r="AB24" i="10" a="1"/>
  <c r="AB24" i="10" s="1"/>
  <c r="AE13" i="10" a="1"/>
  <c r="AE13" i="10" s="1"/>
  <c r="AB6" i="10" a="1"/>
  <c r="AB6" i="10" s="1"/>
  <c r="AE36" i="10" a="1"/>
  <c r="AE36" i="10" s="1"/>
  <c r="AB34" i="10" a="1"/>
  <c r="AB34" i="10" s="1"/>
  <c r="AB29" i="10" a="1"/>
  <c r="AB29" i="10" s="1"/>
  <c r="AE23" i="10" a="1"/>
  <c r="AE23" i="10" s="1"/>
  <c r="AE18" i="10" a="1"/>
  <c r="AE18" i="10" s="1"/>
  <c r="AB16" i="10" a="1"/>
  <c r="AB16" i="10" s="1"/>
  <c r="AB11" i="10" a="1"/>
  <c r="AB11" i="10" s="1"/>
  <c r="AE5" i="10" a="1"/>
  <c r="AE5" i="10" s="1"/>
  <c r="AE28" i="10" a="1"/>
  <c r="AE28" i="10" s="1"/>
  <c r="AE10" i="10" a="1"/>
  <c r="AE10" i="10" s="1"/>
  <c r="AE33" i="10" a="1"/>
  <c r="AE33" i="10" s="1"/>
  <c r="AE20" i="10" a="1"/>
  <c r="AE20" i="10" s="1"/>
  <c r="AE15" i="10" a="1"/>
  <c r="AE15" i="10" s="1"/>
  <c r="AE25" i="10" a="1"/>
  <c r="AE25" i="10" s="1"/>
  <c r="AE7" i="10" a="1"/>
  <c r="AE7" i="10" s="1"/>
  <c r="AE35" i="10" a="1"/>
  <c r="AE35" i="10" s="1"/>
  <c r="AE30" i="10" a="1"/>
  <c r="AE30" i="10" s="1"/>
  <c r="AE17" i="10" a="1"/>
  <c r="AE17" i="10" s="1"/>
  <c r="AE12" i="10" a="1"/>
  <c r="AE12" i="10" s="1"/>
  <c r="AE22" i="10" a="1"/>
  <c r="AE22" i="10" s="1"/>
  <c r="AE4" i="10" a="1"/>
  <c r="AE4" i="10" s="1"/>
  <c r="AE32" i="10" a="1"/>
  <c r="AE32" i="10" s="1"/>
  <c r="AE27" i="10" a="1"/>
  <c r="AE27" i="10" s="1"/>
  <c r="AE14" i="10" a="1"/>
  <c r="AE14" i="10" s="1"/>
  <c r="AE9" i="10" a="1"/>
  <c r="AE9" i="10" s="1"/>
  <c r="AE37" i="10" a="1"/>
  <c r="AE37" i="10" s="1"/>
  <c r="AE19" i="10" a="1"/>
  <c r="AE19" i="10" s="1"/>
  <c r="AE29" i="10" a="1"/>
  <c r="AE29" i="10" s="1"/>
  <c r="AE24" i="10" a="1"/>
  <c r="AE24" i="10" s="1"/>
  <c r="AE11" i="10" a="1"/>
  <c r="AE11" i="10" s="1"/>
  <c r="AE6" i="10" a="1"/>
  <c r="AE6" i="10" s="1"/>
  <c r="C49" i="12"/>
  <c r="BO35" i="17" l="1"/>
  <c r="BT7" i="17"/>
  <c r="AD49" i="10" a="1"/>
  <c r="AD49" i="10" s="1"/>
  <c r="AM49" i="10" s="1"/>
  <c r="AD50" i="10" a="1"/>
  <c r="AD50" i="10" s="1"/>
  <c r="AM50" i="10" s="1"/>
  <c r="AD51" i="10" a="1"/>
  <c r="AD51" i="10" s="1"/>
  <c r="AM51" i="10" s="1"/>
  <c r="AD52" i="10" a="1"/>
  <c r="AD52" i="10" s="1"/>
  <c r="AM52" i="10" s="1"/>
  <c r="AD53" i="10" a="1"/>
  <c r="AD53" i="10" s="1"/>
  <c r="AM53" i="10" s="1"/>
  <c r="AD54" i="10" a="1"/>
  <c r="AD54" i="10" s="1"/>
  <c r="AM54" i="10" s="1"/>
  <c r="AB51" i="10" a="1"/>
  <c r="AB51" i="10" s="1"/>
  <c r="AE54" i="10" a="1"/>
  <c r="AE54" i="10" s="1"/>
  <c r="AQ54" i="10" s="1"/>
  <c r="AS54" i="10" s="1"/>
  <c r="AB52" i="10" a="1"/>
  <c r="AB52" i="10" s="1"/>
  <c r="AC53" i="10" a="1"/>
  <c r="AC53" i="10" s="1"/>
  <c r="AE51" i="10" a="1"/>
  <c r="AE51" i="10" s="1"/>
  <c r="AE50" i="10" a="1"/>
  <c r="AE50" i="10" s="1"/>
  <c r="AC52" i="10" a="1"/>
  <c r="AC52" i="10" s="1"/>
  <c r="AC54" i="10" a="1"/>
  <c r="AC54" i="10" s="1"/>
  <c r="AB53" i="10" a="1"/>
  <c r="AB53" i="10" s="1"/>
  <c r="AB54" i="10" a="1"/>
  <c r="AB54" i="10" s="1"/>
  <c r="AC50" i="10" a="1"/>
  <c r="AC50" i="10" s="1"/>
  <c r="AK50" i="10" s="1"/>
  <c r="AE52" i="10" a="1"/>
  <c r="AE52" i="10" s="1"/>
  <c r="AE53" i="10" a="1"/>
  <c r="AE53" i="10" s="1"/>
  <c r="AB50" i="10" a="1"/>
  <c r="AB50" i="10" s="1"/>
  <c r="AC51" i="10" a="1"/>
  <c r="AC51" i="10" s="1"/>
  <c r="BT28" i="17"/>
  <c r="BT17" i="17"/>
  <c r="AC48" i="10" a="1"/>
  <c r="AC48" i="10" s="1"/>
  <c r="AK48" i="10" s="1"/>
  <c r="BO11" i="17"/>
  <c r="AC46" i="10" a="1"/>
  <c r="AC46" i="10" s="1"/>
  <c r="AK46" i="10" s="1"/>
  <c r="AC45" i="10" a="1"/>
  <c r="AC45" i="10" s="1"/>
  <c r="AK45" i="10" s="1"/>
  <c r="AC47" i="10" a="1"/>
  <c r="AC47" i="10" s="1"/>
  <c r="AK47" i="10" s="1"/>
  <c r="AC49" i="10" a="1"/>
  <c r="AC49" i="10" s="1"/>
  <c r="BT23" i="17"/>
  <c r="BT5" i="17"/>
  <c r="BT38" i="17"/>
  <c r="BT42" i="17"/>
  <c r="BT19" i="17"/>
  <c r="BT4" i="17"/>
  <c r="BT20" i="17"/>
  <c r="BO21" i="17"/>
  <c r="BR49" i="17"/>
  <c r="BT9" i="17"/>
  <c r="BR48" i="17"/>
  <c r="BT16" i="17"/>
  <c r="BT18" i="17"/>
  <c r="BO33" i="17"/>
  <c r="BO48" i="17"/>
  <c r="BO47" i="17"/>
  <c r="BT8" i="17"/>
  <c r="BR50" i="17"/>
  <c r="BR46" i="17"/>
  <c r="BT30" i="17"/>
  <c r="BR47" i="17"/>
  <c r="BT39" i="17"/>
  <c r="BT29" i="17"/>
  <c r="BT22" i="17"/>
  <c r="BO27" i="17"/>
  <c r="BO31" i="17"/>
  <c r="BT34" i="17"/>
  <c r="BO44" i="17"/>
  <c r="BT10" i="17"/>
  <c r="BO25" i="17"/>
  <c r="Z20" i="17" a="1"/>
  <c r="Z20" i="17" s="1"/>
  <c r="Z18" i="17" a="1"/>
  <c r="Z18" i="17" s="1"/>
  <c r="Z21" i="17" a="1"/>
  <c r="Z21" i="17" s="1"/>
  <c r="Z19" i="17" a="1"/>
  <c r="Z19" i="17" s="1"/>
  <c r="N21" i="17" a="1"/>
  <c r="N21" i="17" s="1"/>
  <c r="N18" i="17" a="1"/>
  <c r="N18" i="17" s="1"/>
  <c r="N20" i="17" a="1"/>
  <c r="N20" i="17" s="1"/>
  <c r="N19" i="17" a="1"/>
  <c r="N19" i="17" s="1"/>
  <c r="E20" i="17" a="1"/>
  <c r="E20" i="17" s="1"/>
  <c r="E19" i="17" a="1"/>
  <c r="E19" i="17" s="1"/>
  <c r="C7" i="17" s="1"/>
  <c r="E21" i="17" a="1"/>
  <c r="E21" i="17" s="1"/>
  <c r="E18" i="17" a="1"/>
  <c r="E18" i="17" s="1"/>
  <c r="J19" i="17" a="1"/>
  <c r="J19" i="17" s="1"/>
  <c r="G10" i="17" s="1"/>
  <c r="J21" i="17" a="1"/>
  <c r="J21" i="17" s="1"/>
  <c r="J18" i="17" a="1"/>
  <c r="J18" i="17" s="1"/>
  <c r="J20" i="17" a="1"/>
  <c r="J20" i="17" s="1"/>
  <c r="BO26" i="17"/>
  <c r="Y20" i="17" a="1"/>
  <c r="Y20" i="17" s="1"/>
  <c r="Y19" i="17" a="1"/>
  <c r="Y19" i="17" s="1"/>
  <c r="Y18" i="17" a="1"/>
  <c r="Y18" i="17" s="1"/>
  <c r="Y21" i="17" a="1"/>
  <c r="Y21" i="17" s="1"/>
  <c r="F20" i="17" a="1"/>
  <c r="F20" i="17" s="1"/>
  <c r="F18" i="17" a="1"/>
  <c r="F18" i="17" s="1"/>
  <c r="F19" i="17" a="1"/>
  <c r="F19" i="17" s="1"/>
  <c r="B3" i="17" s="1"/>
  <c r="F21" i="17" a="1"/>
  <c r="F21" i="17" s="1"/>
  <c r="D21" i="17" a="1"/>
  <c r="D21" i="17" s="1"/>
  <c r="D18" i="17" a="1"/>
  <c r="D18" i="17" s="1"/>
  <c r="D20" i="17" a="1"/>
  <c r="D20" i="17" s="1"/>
  <c r="D19" i="17" a="1"/>
  <c r="D19" i="17" s="1"/>
  <c r="X21" i="17" a="1"/>
  <c r="X21" i="17" s="1"/>
  <c r="X18" i="17" a="1"/>
  <c r="X18" i="17" s="1"/>
  <c r="X20" i="17" a="1"/>
  <c r="X20" i="17" s="1"/>
  <c r="X19" i="17" a="1"/>
  <c r="X19" i="17" s="1"/>
  <c r="BT32" i="17"/>
  <c r="L21" i="17" a="1"/>
  <c r="L21" i="17" s="1"/>
  <c r="L18" i="17" a="1"/>
  <c r="L18" i="17" s="1"/>
  <c r="L20" i="17" a="1"/>
  <c r="L20" i="17" s="1"/>
  <c r="L19" i="17" a="1"/>
  <c r="L19" i="17" s="1"/>
  <c r="T19" i="17" a="1"/>
  <c r="T19" i="17" s="1"/>
  <c r="T21" i="17" a="1"/>
  <c r="T21" i="17" s="1"/>
  <c r="T18" i="17" a="1"/>
  <c r="T18" i="17" s="1"/>
  <c r="T20" i="17" a="1"/>
  <c r="T20" i="17" s="1"/>
  <c r="H19" i="17" a="1"/>
  <c r="H19" i="17" s="1"/>
  <c r="E4" i="17" s="1"/>
  <c r="H21" i="17" a="1"/>
  <c r="H21" i="17" s="1"/>
  <c r="H18" i="17" a="1"/>
  <c r="H18" i="17" s="1"/>
  <c r="H20" i="17" a="1"/>
  <c r="H20" i="17" s="1"/>
  <c r="AG21" i="17" a="1"/>
  <c r="AG21" i="17" s="1"/>
  <c r="AG18" i="17" a="1"/>
  <c r="AG18" i="17" s="1"/>
  <c r="AG19" i="17" a="1"/>
  <c r="AG19" i="17" s="1"/>
  <c r="AG20" i="17" a="1"/>
  <c r="AG20" i="17" s="1"/>
  <c r="V21" i="17" a="1"/>
  <c r="V21" i="17" s="1"/>
  <c r="V18" i="17" a="1"/>
  <c r="V18" i="17" s="1"/>
  <c r="V20" i="17" a="1"/>
  <c r="V20" i="17" s="1"/>
  <c r="V19" i="17" a="1"/>
  <c r="V19" i="17" s="1"/>
  <c r="BT36" i="17"/>
  <c r="BO24" i="17"/>
  <c r="BT12" i="17"/>
  <c r="BO6" i="17"/>
  <c r="AR21" i="17" a="1"/>
  <c r="AR21" i="17" s="1"/>
  <c r="AR18" i="17" a="1"/>
  <c r="AR18" i="17" s="1"/>
  <c r="AR20" i="17" a="1"/>
  <c r="AR20" i="17" s="1"/>
  <c r="AR19" i="17" a="1"/>
  <c r="AR19" i="17" s="1"/>
  <c r="G20" i="17" a="1"/>
  <c r="G20" i="17" s="1"/>
  <c r="G19" i="17" a="1"/>
  <c r="G19" i="17" s="1"/>
  <c r="D10" i="17" s="1"/>
  <c r="G21" i="17" a="1"/>
  <c r="G21" i="17" s="1"/>
  <c r="G18" i="17" a="1"/>
  <c r="G18" i="17" s="1"/>
  <c r="AO19" i="17" a="1"/>
  <c r="AO19" i="17" s="1"/>
  <c r="AO21" i="17" a="1"/>
  <c r="AO21" i="17" s="1"/>
  <c r="AO18" i="17" a="1"/>
  <c r="AO18" i="17" s="1"/>
  <c r="AO20" i="17" a="1"/>
  <c r="AO20" i="17" s="1"/>
  <c r="AL20" i="17" a="1"/>
  <c r="AL20" i="17" s="1"/>
  <c r="AL19" i="17" a="1"/>
  <c r="AL19" i="17" s="1"/>
  <c r="AL21" i="17" a="1"/>
  <c r="AL21" i="17" s="1"/>
  <c r="AL18" i="17" a="1"/>
  <c r="AL18" i="17" s="1"/>
  <c r="BT15" i="17"/>
  <c r="AN19" i="17" a="1"/>
  <c r="AN19" i="17" s="1"/>
  <c r="AN21" i="17" a="1"/>
  <c r="AN21" i="17" s="1"/>
  <c r="AN18" i="17" a="1"/>
  <c r="AN18" i="17" s="1"/>
  <c r="AN20" i="17" a="1"/>
  <c r="AN20" i="17" s="1"/>
  <c r="I19" i="17" a="1"/>
  <c r="I19" i="17" s="1"/>
  <c r="F7" i="17" s="1"/>
  <c r="I20" i="17" a="1"/>
  <c r="I20" i="17" s="1"/>
  <c r="I21" i="17" a="1"/>
  <c r="I21" i="17" s="1"/>
  <c r="I18" i="17" a="1"/>
  <c r="I18" i="17" s="1"/>
  <c r="W21" i="17" a="1"/>
  <c r="W21" i="17" s="1"/>
  <c r="W18" i="17" a="1"/>
  <c r="W18" i="17" s="1"/>
  <c r="W19" i="17" a="1"/>
  <c r="W19" i="17" s="1"/>
  <c r="W20" i="17" a="1"/>
  <c r="W20" i="17" s="1"/>
  <c r="AP19" i="17" a="1"/>
  <c r="AP19" i="17" s="1"/>
  <c r="AP21" i="17" a="1"/>
  <c r="AP21" i="17" s="1"/>
  <c r="AP18" i="17" a="1"/>
  <c r="AP18" i="17" s="1"/>
  <c r="AP20" i="17" a="1"/>
  <c r="AP20" i="17" s="1"/>
  <c r="BO37" i="17"/>
  <c r="AH21" i="17" a="1"/>
  <c r="AH21" i="17" s="1"/>
  <c r="AH18" i="17" a="1"/>
  <c r="AH18" i="17" s="1"/>
  <c r="AH20" i="17" a="1"/>
  <c r="AH20" i="17" s="1"/>
  <c r="Z7" i="17" s="1"/>
  <c r="AH19" i="17" a="1"/>
  <c r="AH19" i="17" s="1"/>
  <c r="X7" i="17" s="1"/>
  <c r="AQ21" i="17" a="1"/>
  <c r="AQ21" i="17" s="1"/>
  <c r="AQ18" i="17" a="1"/>
  <c r="AQ18" i="17" s="1"/>
  <c r="AQ19" i="17" a="1"/>
  <c r="AQ19" i="17" s="1"/>
  <c r="W13" i="17" s="1"/>
  <c r="AQ20" i="17" a="1"/>
  <c r="AQ20" i="17" s="1"/>
  <c r="Y13" i="17" s="1"/>
  <c r="AB20" i="17" a="1"/>
  <c r="AB20" i="17" s="1"/>
  <c r="AB19" i="17" a="1"/>
  <c r="AB19" i="17" s="1"/>
  <c r="AB21" i="17" a="1"/>
  <c r="AB21" i="17" s="1"/>
  <c r="AB18" i="17" a="1"/>
  <c r="AB18" i="17" s="1"/>
  <c r="AC19" i="17" a="1"/>
  <c r="AC19" i="17" s="1"/>
  <c r="AC21" i="17" a="1"/>
  <c r="AC21" i="17" s="1"/>
  <c r="AC18" i="17" a="1"/>
  <c r="AC18" i="17" s="1"/>
  <c r="AC20" i="17" a="1"/>
  <c r="AC20" i="17" s="1"/>
  <c r="BO41" i="17"/>
  <c r="BO13" i="17"/>
  <c r="S19" i="17" a="1"/>
  <c r="S19" i="17" s="1"/>
  <c r="S21" i="17" a="1"/>
  <c r="S21" i="17" s="1"/>
  <c r="S18" i="17" a="1"/>
  <c r="S18" i="17" s="1"/>
  <c r="S20" i="17" a="1"/>
  <c r="S20" i="17" s="1"/>
  <c r="AF21" i="17" a="1"/>
  <c r="AF21" i="17" s="1"/>
  <c r="AF18" i="17" a="1"/>
  <c r="AF18" i="17" s="1"/>
  <c r="AF20" i="17" a="1"/>
  <c r="AF20" i="17" s="1"/>
  <c r="AB12" i="17" s="1"/>
  <c r="AF19" i="17" a="1"/>
  <c r="AF19" i="17" s="1"/>
  <c r="K19" i="17" a="1"/>
  <c r="K19" i="17" s="1"/>
  <c r="H13" i="17" s="1"/>
  <c r="K21" i="17" a="1"/>
  <c r="K21" i="17" s="1"/>
  <c r="K18" i="17" a="1"/>
  <c r="K18" i="17" s="1"/>
  <c r="K20" i="17" a="1"/>
  <c r="K20" i="17" s="1"/>
  <c r="M21" i="17" a="1"/>
  <c r="M21" i="17" s="1"/>
  <c r="M18" i="17" a="1"/>
  <c r="M18" i="17" s="1"/>
  <c r="M20" i="17" a="1"/>
  <c r="M20" i="17" s="1"/>
  <c r="M19" i="17" a="1"/>
  <c r="M19" i="17" s="1"/>
  <c r="P20" i="17" a="1"/>
  <c r="P20" i="17" s="1"/>
  <c r="P18" i="17" a="1"/>
  <c r="P18" i="17" s="1"/>
  <c r="P19" i="17" a="1"/>
  <c r="P19" i="17" s="1"/>
  <c r="P21" i="17" a="1"/>
  <c r="P21" i="17" s="1"/>
  <c r="AK20" i="17" a="1"/>
  <c r="AK20" i="17" s="1"/>
  <c r="AB3" i="17" s="1"/>
  <c r="AK19" i="17" a="1"/>
  <c r="AK19" i="17" s="1"/>
  <c r="Z3" i="17" s="1"/>
  <c r="AK21" i="17" a="1"/>
  <c r="AK21" i="17" s="1"/>
  <c r="AK18" i="17" a="1"/>
  <c r="AK18" i="17" s="1"/>
  <c r="AA20" i="17" a="1"/>
  <c r="AA20" i="17" s="1"/>
  <c r="AA19" i="17" a="1"/>
  <c r="AA19" i="17" s="1"/>
  <c r="AA21" i="17" a="1"/>
  <c r="AA21" i="17" s="1"/>
  <c r="AA18" i="17" a="1"/>
  <c r="AA18" i="17" s="1"/>
  <c r="AE19" i="17" a="1"/>
  <c r="AE19" i="17" s="1"/>
  <c r="AE21" i="17" a="1"/>
  <c r="AE21" i="17" s="1"/>
  <c r="AE18" i="17" a="1"/>
  <c r="AE18" i="17" s="1"/>
  <c r="AE20" i="17" a="1"/>
  <c r="AE20" i="17" s="1"/>
  <c r="AJ20" i="17" a="1"/>
  <c r="AJ20" i="17" s="1"/>
  <c r="AB4" i="17" s="1"/>
  <c r="AJ19" i="17" a="1"/>
  <c r="AJ19" i="17" s="1"/>
  <c r="Z4" i="17" s="1"/>
  <c r="AJ18" i="17" a="1"/>
  <c r="AJ18" i="17" s="1"/>
  <c r="AJ21" i="17" a="1"/>
  <c r="AJ21" i="17" s="1"/>
  <c r="O20" i="17" a="1"/>
  <c r="O20" i="17" s="1"/>
  <c r="O19" i="17" a="1"/>
  <c r="O19" i="17" s="1"/>
  <c r="O18" i="17" a="1"/>
  <c r="O18" i="17" s="1"/>
  <c r="O21" i="17" a="1"/>
  <c r="O21" i="17" s="1"/>
  <c r="Q20" i="17" a="1"/>
  <c r="Q20" i="17" s="1"/>
  <c r="Q19" i="17" a="1"/>
  <c r="Q19" i="17" s="1"/>
  <c r="Q21" i="17" a="1"/>
  <c r="Q21" i="17" s="1"/>
  <c r="Q18" i="17" a="1"/>
  <c r="Q18" i="17" s="1"/>
  <c r="BT43" i="17"/>
  <c r="R20" i="17" a="1"/>
  <c r="R20" i="17" s="1"/>
  <c r="R19" i="17" a="1"/>
  <c r="R19" i="17" s="1"/>
  <c r="R21" i="17" a="1"/>
  <c r="R21" i="17" s="1"/>
  <c r="R18" i="17" a="1"/>
  <c r="R18" i="17" s="1"/>
  <c r="U19" i="17" a="1"/>
  <c r="U19" i="17" s="1"/>
  <c r="U21" i="17" a="1"/>
  <c r="U21" i="17" s="1"/>
  <c r="U18" i="17" a="1"/>
  <c r="U18" i="17" s="1"/>
  <c r="U20" i="17" a="1"/>
  <c r="U20" i="17" s="1"/>
  <c r="AI21" i="17" a="1"/>
  <c r="AI21" i="17" s="1"/>
  <c r="AI18" i="17" a="1"/>
  <c r="AI18" i="17" s="1"/>
  <c r="AI20" i="17" a="1"/>
  <c r="AI20" i="17" s="1"/>
  <c r="Z6" i="17" s="1"/>
  <c r="AI19" i="17" a="1"/>
  <c r="AI19" i="17" s="1"/>
  <c r="X6" i="17" s="1"/>
  <c r="AM19" i="17" a="1"/>
  <c r="AM19" i="17" s="1"/>
  <c r="AB9" i="17" s="1"/>
  <c r="AM21" i="17" a="1"/>
  <c r="AM21" i="17" s="1"/>
  <c r="AM18" i="17" a="1"/>
  <c r="AM18" i="17" s="1"/>
  <c r="AM20" i="17" a="1"/>
  <c r="AM20" i="17" s="1"/>
  <c r="AD9" i="17" s="1"/>
  <c r="AD19" i="17" a="1"/>
  <c r="AD19" i="17" s="1"/>
  <c r="AD20" i="17" a="1"/>
  <c r="AD20" i="17" s="1"/>
  <c r="X9" i="17" s="1"/>
  <c r="AD21" i="17" a="1"/>
  <c r="AD21" i="17" s="1"/>
  <c r="AD18" i="17" a="1"/>
  <c r="AD18" i="17" s="1"/>
  <c r="AE47" i="10" a="1"/>
  <c r="AE47" i="10" s="1"/>
  <c r="AC44" i="10" a="1"/>
  <c r="AC44" i="10" s="1"/>
  <c r="AK44" i="10" s="1"/>
  <c r="AB45" i="10" a="1"/>
  <c r="AB45" i="10" s="1"/>
  <c r="AE48" i="10" a="1"/>
  <c r="AE48" i="10" s="1"/>
  <c r="AB47" i="10" a="1"/>
  <c r="AB47" i="10" s="1"/>
  <c r="AB46" i="10" a="1"/>
  <c r="AB46" i="10" s="1"/>
  <c r="AB48" i="10" a="1"/>
  <c r="AB48" i="10" s="1"/>
  <c r="AE45" i="10" a="1"/>
  <c r="AE45" i="10" s="1"/>
  <c r="AE46" i="10" a="1"/>
  <c r="AE46" i="10" s="1"/>
  <c r="B60" i="12"/>
  <c r="B59" i="12"/>
  <c r="B58" i="12"/>
  <c r="B57" i="12"/>
  <c r="B54" i="12"/>
  <c r="B53" i="12"/>
  <c r="B50" i="12"/>
  <c r="B52" i="12"/>
  <c r="B51" i="12"/>
  <c r="B49" i="12"/>
  <c r="B46" i="12"/>
  <c r="B40" i="12"/>
  <c r="B41" i="12"/>
  <c r="B38" i="12"/>
  <c r="B36" i="12"/>
  <c r="B31" i="12"/>
  <c r="B34" i="12"/>
  <c r="B25" i="12"/>
  <c r="B29" i="12"/>
  <c r="B27" i="12"/>
  <c r="B39" i="12"/>
  <c r="B47" i="12"/>
  <c r="B45" i="12"/>
  <c r="B44" i="12"/>
  <c r="B43" i="12"/>
  <c r="B48" i="12"/>
  <c r="B37" i="12"/>
  <c r="B35" i="12"/>
  <c r="B30" i="12"/>
  <c r="B32" i="12"/>
  <c r="B33" i="12"/>
  <c r="B24" i="12"/>
  <c r="B42" i="12"/>
  <c r="B28" i="12"/>
  <c r="B26" i="12"/>
  <c r="B17" i="12"/>
  <c r="B18" i="12"/>
  <c r="B16" i="12"/>
  <c r="B15" i="12"/>
  <c r="B23" i="12"/>
  <c r="B22" i="12"/>
  <c r="B20" i="12"/>
  <c r="B21" i="12"/>
  <c r="B19" i="12"/>
  <c r="B10" i="12"/>
  <c r="B9" i="12"/>
  <c r="B8" i="12"/>
  <c r="B7" i="12"/>
  <c r="B6" i="12"/>
  <c r="B4" i="12"/>
  <c r="B5" i="12"/>
  <c r="B3" i="12"/>
  <c r="AS17" i="17" a="1"/>
  <c r="AH4" i="17" l="1"/>
  <c r="AF4" i="17"/>
  <c r="AE13" i="17"/>
  <c r="AE4" i="17"/>
  <c r="AC13" i="17"/>
  <c r="AC4" i="17"/>
  <c r="AD10" i="17"/>
  <c r="AB10" i="17"/>
  <c r="X10" i="17"/>
  <c r="Y12" i="17"/>
  <c r="W12" i="17"/>
  <c r="V9" i="17"/>
  <c r="V10" i="17"/>
  <c r="W6" i="17"/>
  <c r="U6" i="17"/>
  <c r="W7" i="17"/>
  <c r="U7" i="17"/>
  <c r="Z12" i="17"/>
  <c r="AB13" i="17"/>
  <c r="Z13" i="17"/>
  <c r="AA10" i="17"/>
  <c r="Y10" i="17"/>
  <c r="Y3" i="17"/>
  <c r="Y4" i="17"/>
  <c r="W4" i="17"/>
  <c r="W3" i="17"/>
  <c r="R10" i="17"/>
  <c r="P10" i="17"/>
  <c r="K6" i="17"/>
  <c r="J10" i="17"/>
  <c r="M13" i="17"/>
  <c r="K7" i="17"/>
  <c r="I6" i="17"/>
  <c r="K13" i="17"/>
  <c r="I7" i="17"/>
  <c r="S13" i="17"/>
  <c r="Q13" i="17"/>
  <c r="Q12" i="17"/>
  <c r="V13" i="17"/>
  <c r="T13" i="17"/>
  <c r="U10" i="17"/>
  <c r="S10" i="17"/>
  <c r="T7" i="17"/>
  <c r="R7" i="17"/>
  <c r="AK49" i="10"/>
  <c r="AK53" i="10"/>
  <c r="AK51" i="10"/>
  <c r="AQ50" i="10"/>
  <c r="AS50" i="10" s="1"/>
  <c r="AM58" i="10"/>
  <c r="AQ51" i="10"/>
  <c r="AS51" i="10" s="1"/>
  <c r="AM59" i="10"/>
  <c r="AQ53" i="10"/>
  <c r="AS53" i="10" s="1"/>
  <c r="AM61" i="10"/>
  <c r="AQ52" i="10"/>
  <c r="AS52" i="10" s="1"/>
  <c r="AM60" i="10"/>
  <c r="AK52" i="10"/>
  <c r="AK54" i="10"/>
  <c r="AI54" i="10"/>
  <c r="AG54" i="10"/>
  <c r="AI53" i="10"/>
  <c r="AG53" i="10"/>
  <c r="AI52" i="10"/>
  <c r="AG52" i="10"/>
  <c r="AI51" i="10"/>
  <c r="AG51" i="10"/>
  <c r="AI50" i="10"/>
  <c r="AG50" i="10"/>
  <c r="AI49" i="10"/>
  <c r="AG49" i="10"/>
  <c r="AO15" i="10"/>
  <c r="AV20" i="17" a="1"/>
  <c r="AV20" i="17" s="1"/>
  <c r="AH13" i="17" s="1"/>
  <c r="AW19" i="17" a="1"/>
  <c r="AW19" i="17" s="1"/>
  <c r="AX18" i="17" a="1"/>
  <c r="AX18" i="17" s="1"/>
  <c r="AX21" i="17" a="1"/>
  <c r="AX21" i="17" s="1"/>
  <c r="AU19" i="17" a="1"/>
  <c r="AU19" i="17" s="1"/>
  <c r="AA7" i="17" s="1"/>
  <c r="AU18" i="17" a="1"/>
  <c r="AU18" i="17" s="1"/>
  <c r="AU20" i="17" a="1"/>
  <c r="AU20" i="17" s="1"/>
  <c r="AC7" i="17" s="1"/>
  <c r="AW20" i="17" a="1"/>
  <c r="AW20" i="17" s="1"/>
  <c r="AV18" i="17" a="1"/>
  <c r="AV18" i="17" s="1"/>
  <c r="AW18" i="17" a="1"/>
  <c r="AW18" i="17" s="1"/>
  <c r="AT19" i="17" a="1"/>
  <c r="AT19" i="17" s="1"/>
  <c r="AE10" i="17" s="1"/>
  <c r="AV21" i="17" a="1"/>
  <c r="AV21" i="17" s="1"/>
  <c r="AW21" i="17" a="1"/>
  <c r="AW21" i="17" s="1"/>
  <c r="AT20" i="17" a="1"/>
  <c r="AT20" i="17" s="1"/>
  <c r="AG10" i="17" s="1"/>
  <c r="AV19" i="17" a="1"/>
  <c r="AV19" i="17" s="1"/>
  <c r="AF13" i="17" s="1"/>
  <c r="AT18" i="17" a="1"/>
  <c r="AT18" i="17" s="1"/>
  <c r="AX20" i="17" a="1"/>
  <c r="AX20" i="17" s="1"/>
  <c r="AX19" i="17" a="1"/>
  <c r="AX19" i="17" s="1"/>
  <c r="AB44" i="10" a="1"/>
  <c r="AB44" i="10" s="1"/>
  <c r="AU21" i="17" a="1"/>
  <c r="AU21" i="17" s="1"/>
  <c r="AT21" i="17" a="1"/>
  <c r="AT21" i="17" s="1"/>
  <c r="BT47" i="17"/>
  <c r="AS17" i="17"/>
  <c r="BO50" i="17"/>
  <c r="BT50" i="17"/>
  <c r="BT46" i="17"/>
  <c r="BO46" i="17"/>
  <c r="BT48" i="17"/>
  <c r="BR45" i="17"/>
  <c r="BO49" i="17"/>
  <c r="BT49" i="17"/>
  <c r="AE44" i="10" a="1"/>
  <c r="AE44" i="10" s="1"/>
  <c r="B4" i="17"/>
  <c r="M23" i="17"/>
  <c r="AB49" i="10" a="1"/>
  <c r="AB49" i="10" s="1"/>
  <c r="AE49" i="10" a="1"/>
  <c r="AE49" i="10" s="1"/>
  <c r="Z45" i="10"/>
  <c r="Z46" i="10"/>
  <c r="DD8" i="10" a="1"/>
  <c r="DD8" i="10" s="1"/>
  <c r="DC8" i="10" a="1"/>
  <c r="DC8" i="10" s="1"/>
  <c r="DB8" i="10" a="1"/>
  <c r="DB8" i="10" s="1"/>
  <c r="DA8" i="10" a="1"/>
  <c r="DA8" i="10" s="1"/>
  <c r="CZ8" i="10" a="1"/>
  <c r="CZ8" i="10" s="1"/>
  <c r="CY8" i="10" a="1"/>
  <c r="CY8" i="10" s="1"/>
  <c r="CX8" i="10" a="1"/>
  <c r="CX8" i="10" s="1"/>
  <c r="CW8" i="10" a="1"/>
  <c r="CW8" i="10" s="1"/>
  <c r="CV8" i="10" a="1"/>
  <c r="CV8" i="10" s="1"/>
  <c r="CU8" i="10" a="1"/>
  <c r="CU8" i="10" s="1"/>
  <c r="CT8" i="10" a="1"/>
  <c r="CT8" i="10" s="1"/>
  <c r="CS8" i="10" a="1"/>
  <c r="CS8" i="10" s="1"/>
  <c r="CR8" i="10" a="1"/>
  <c r="CR8" i="10" s="1"/>
  <c r="CQ8" i="10" a="1"/>
  <c r="CQ8" i="10" s="1"/>
  <c r="CP8" i="10" a="1"/>
  <c r="CP8" i="10" s="1"/>
  <c r="CO8" i="10" a="1"/>
  <c r="CO8" i="10" s="1"/>
  <c r="CN8" i="10" a="1"/>
  <c r="CN8" i="10" s="1"/>
  <c r="CM8" i="10" a="1"/>
  <c r="CM8" i="10" s="1"/>
  <c r="CL8" i="10" a="1"/>
  <c r="CL8" i="10" s="1"/>
  <c r="CK8" i="10" a="1"/>
  <c r="CK8" i="10" s="1"/>
  <c r="CJ8" i="10" a="1"/>
  <c r="CJ8" i="10" s="1"/>
  <c r="CI8" i="10" a="1"/>
  <c r="CI8" i="10" s="1"/>
  <c r="CH8" i="10" a="1"/>
  <c r="CH8" i="10" s="1"/>
  <c r="CG8" i="10" a="1"/>
  <c r="CG8" i="10" s="1"/>
  <c r="CF8" i="10" a="1"/>
  <c r="CF8" i="10" s="1"/>
  <c r="CE8" i="10" a="1"/>
  <c r="CE8" i="10" s="1"/>
  <c r="CD8" i="10" a="1"/>
  <c r="CD8" i="10" s="1"/>
  <c r="CC8" i="10" a="1"/>
  <c r="CC8" i="10" s="1"/>
  <c r="CB8" i="10" a="1"/>
  <c r="CB8" i="10" s="1"/>
  <c r="CA8" i="10" a="1"/>
  <c r="CA8" i="10" s="1"/>
  <c r="BZ8" i="10" a="1"/>
  <c r="BZ8" i="10" s="1"/>
  <c r="BY8" i="10" a="1"/>
  <c r="BY8" i="10" s="1"/>
  <c r="BX8" i="10" a="1"/>
  <c r="BX8" i="10" s="1"/>
  <c r="BW8" i="10" a="1"/>
  <c r="BW8" i="10" s="1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BG8" i="10" a="1"/>
  <c r="BG8" i="10" s="1"/>
  <c r="BF8" i="10" a="1"/>
  <c r="BF8" i="10" s="1"/>
  <c r="CY13" i="10" a="1"/>
  <c r="CY13" i="10" s="1"/>
  <c r="BF13" i="10" a="1"/>
  <c r="BF13" i="10" s="1"/>
  <c r="BG13" i="10" a="1"/>
  <c r="BG13" i="10" s="1"/>
  <c r="BH13" i="10" a="1"/>
  <c r="BH13" i="10" s="1"/>
  <c r="BI13" i="10" a="1"/>
  <c r="BI13" i="10" s="1"/>
  <c r="BJ13" i="10" a="1"/>
  <c r="BJ13" i="10" s="1"/>
  <c r="BK13" i="10" a="1"/>
  <c r="BK13" i="10" s="1"/>
  <c r="BL13" i="10" a="1"/>
  <c r="BL13" i="10" s="1"/>
  <c r="BM13" i="10" a="1"/>
  <c r="BM13" i="10" s="1"/>
  <c r="BN13" i="10" a="1"/>
  <c r="BN13" i="10" s="1"/>
  <c r="BO13" i="10" a="1"/>
  <c r="BO13" i="10" s="1"/>
  <c r="BP13" i="10" a="1"/>
  <c r="BP13" i="10" s="1"/>
  <c r="BQ13" i="10" a="1"/>
  <c r="BQ13" i="10" s="1"/>
  <c r="BR13" i="10" a="1"/>
  <c r="BR13" i="10" s="1"/>
  <c r="BS13" i="10" a="1"/>
  <c r="BS13" i="10" s="1"/>
  <c r="BT13" i="10" a="1"/>
  <c r="BT13" i="10" s="1"/>
  <c r="BU13" i="10" a="1"/>
  <c r="BU13" i="10" s="1"/>
  <c r="BV13" i="10" a="1"/>
  <c r="BV13" i="10" s="1"/>
  <c r="BW13" i="10" a="1"/>
  <c r="BW13" i="10" s="1"/>
  <c r="BX13" i="10" a="1"/>
  <c r="BX13" i="10" s="1"/>
  <c r="BY13" i="10" a="1"/>
  <c r="BY13" i="10" s="1"/>
  <c r="BZ13" i="10" a="1"/>
  <c r="BZ13" i="10" s="1"/>
  <c r="CA13" i="10" a="1"/>
  <c r="CA13" i="10" s="1"/>
  <c r="CB13" i="10" a="1"/>
  <c r="CB13" i="10" s="1"/>
  <c r="CC13" i="10" a="1"/>
  <c r="CC13" i="10" s="1"/>
  <c r="CD13" i="10" a="1"/>
  <c r="CD13" i="10" s="1"/>
  <c r="CE13" i="10" a="1"/>
  <c r="CE13" i="10" s="1"/>
  <c r="CF13" i="10" a="1"/>
  <c r="CF13" i="10" s="1"/>
  <c r="CG13" i="10" a="1"/>
  <c r="CG13" i="10" s="1"/>
  <c r="CH13" i="10" a="1"/>
  <c r="CH13" i="10" s="1"/>
  <c r="CI13" i="10" a="1"/>
  <c r="CI13" i="10" s="1"/>
  <c r="CJ13" i="10" a="1"/>
  <c r="CJ13" i="10" s="1"/>
  <c r="CK13" i="10" a="1"/>
  <c r="CK13" i="10" s="1"/>
  <c r="CL13" i="10" a="1"/>
  <c r="CL13" i="10" s="1"/>
  <c r="CM13" i="10" a="1"/>
  <c r="CM13" i="10" s="1"/>
  <c r="CN13" i="10" a="1"/>
  <c r="CN13" i="10" s="1"/>
  <c r="CO13" i="10" a="1"/>
  <c r="CO13" i="10" s="1"/>
  <c r="CP13" i="10" a="1"/>
  <c r="CP13" i="10" s="1"/>
  <c r="CQ13" i="10" a="1"/>
  <c r="CQ13" i="10" s="1"/>
  <c r="CR13" i="10" a="1"/>
  <c r="CR13" i="10" s="1"/>
  <c r="CS13" i="10" a="1"/>
  <c r="CS13" i="10" s="1"/>
  <c r="CT13" i="10" a="1"/>
  <c r="CT13" i="10" s="1"/>
  <c r="CU13" i="10" a="1"/>
  <c r="CU13" i="10" s="1"/>
  <c r="CV13" i="10" a="1"/>
  <c r="CV13" i="10" s="1"/>
  <c r="CW13" i="10" a="1"/>
  <c r="CW13" i="10" s="1"/>
  <c r="CX13" i="10" a="1"/>
  <c r="CX13" i="10" s="1"/>
  <c r="Z49" i="10"/>
  <c r="Z48" i="10"/>
  <c r="H49" i="10"/>
  <c r="Z44" i="10"/>
  <c r="H48" i="10"/>
  <c r="Z43" i="10"/>
  <c r="H47" i="10"/>
  <c r="Z42" i="10"/>
  <c r="H46" i="10"/>
  <c r="Z41" i="10"/>
  <c r="H45" i="10"/>
  <c r="H44" i="10"/>
  <c r="H43" i="10"/>
  <c r="Z40" i="10"/>
  <c r="H42" i="10"/>
  <c r="H41" i="10"/>
  <c r="Z39" i="10"/>
  <c r="H40" i="10"/>
  <c r="Z38" i="10"/>
  <c r="H39" i="10"/>
  <c r="Z37" i="10"/>
  <c r="H38" i="10"/>
  <c r="Z36" i="10"/>
  <c r="H37" i="10"/>
  <c r="Z35" i="10"/>
  <c r="H36" i="10"/>
  <c r="Z34" i="10"/>
  <c r="H35" i="10"/>
  <c r="Z33" i="10"/>
  <c r="H34" i="10"/>
  <c r="Z32" i="10"/>
  <c r="H33" i="10"/>
  <c r="Z47" i="10"/>
  <c r="H32" i="10"/>
  <c r="Z31" i="10"/>
  <c r="H31" i="10"/>
  <c r="Z30" i="10"/>
  <c r="H30" i="10"/>
  <c r="Z29" i="10"/>
  <c r="H29" i="10"/>
  <c r="Z28" i="10"/>
  <c r="H28" i="10"/>
  <c r="Z27" i="10"/>
  <c r="H27" i="10"/>
  <c r="Z26" i="10"/>
  <c r="H26" i="10"/>
  <c r="Z25" i="10"/>
  <c r="H25" i="10"/>
  <c r="Z24" i="10"/>
  <c r="H24" i="10"/>
  <c r="Z23" i="10"/>
  <c r="H23" i="10"/>
  <c r="Z22" i="10"/>
  <c r="H22" i="10"/>
  <c r="B22" i="10"/>
  <c r="B23" i="10" s="1"/>
  <c r="B24" i="10" s="1"/>
  <c r="B25" i="10" s="1"/>
  <c r="Q35" i="10" s="1"/>
  <c r="Z21" i="10"/>
  <c r="H21" i="10"/>
  <c r="Z20" i="10"/>
  <c r="H20" i="10"/>
  <c r="Z19" i="10"/>
  <c r="H19" i="10"/>
  <c r="Z18" i="10"/>
  <c r="H18" i="10"/>
  <c r="Z17" i="10"/>
  <c r="H17" i="10"/>
  <c r="Z16" i="10"/>
  <c r="H16" i="10"/>
  <c r="Z15" i="10"/>
  <c r="H15" i="10"/>
  <c r="Z14" i="10"/>
  <c r="H14" i="10"/>
  <c r="BC26" i="10"/>
  <c r="Z13" i="10"/>
  <c r="H13" i="10"/>
  <c r="Z12" i="10"/>
  <c r="H12" i="10"/>
  <c r="B12" i="10"/>
  <c r="B13" i="10" s="1"/>
  <c r="B14" i="10" s="1"/>
  <c r="Z11" i="10"/>
  <c r="H11" i="10"/>
  <c r="Z10" i="10"/>
  <c r="H10" i="10"/>
  <c r="Z9" i="10"/>
  <c r="H9" i="10"/>
  <c r="Z8" i="10"/>
  <c r="H8" i="10"/>
  <c r="Z7" i="10"/>
  <c r="H7" i="10"/>
  <c r="Z6" i="10"/>
  <c r="H6" i="10"/>
  <c r="Z5" i="10"/>
  <c r="H5" i="10"/>
  <c r="Z4" i="10"/>
  <c r="H4" i="10"/>
  <c r="H3" i="10"/>
  <c r="B3" i="10"/>
  <c r="B4" i="10" s="1"/>
  <c r="B62" i="9"/>
  <c r="B61" i="9"/>
  <c r="B60" i="9"/>
  <c r="B59" i="9"/>
  <c r="B58" i="9"/>
  <c r="B57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C5" i="9"/>
  <c r="C6" i="9" s="1"/>
  <c r="AQ49" i="10" l="1"/>
  <c r="AS49" i="10" s="1"/>
  <c r="AM57" i="10"/>
  <c r="DB15" i="10"/>
  <c r="DC15" i="10"/>
  <c r="DD15" i="10"/>
  <c r="DE15" i="10"/>
  <c r="DA15" i="10"/>
  <c r="DB10" i="10"/>
  <c r="DB12" i="10" s="1"/>
  <c r="DC10" i="10"/>
  <c r="DC12" i="10" s="1"/>
  <c r="DD10" i="10"/>
  <c r="DD12" i="10" s="1"/>
  <c r="DA10" i="10"/>
  <c r="DA12" i="10" s="1"/>
  <c r="BO45" i="17"/>
  <c r="BT45" i="17"/>
  <c r="E26" i="17"/>
  <c r="AS19" i="17" a="1"/>
  <c r="AS19" i="17" s="1"/>
  <c r="AD7" i="17" s="1"/>
  <c r="E35" i="17"/>
  <c r="AS21" i="17" a="1"/>
  <c r="AS21" i="17" s="1"/>
  <c r="AS18" i="17" a="1"/>
  <c r="AS18" i="17" s="1"/>
  <c r="AS20" i="17" a="1"/>
  <c r="AS20" i="17" s="1"/>
  <c r="AF7" i="17" s="1"/>
  <c r="BH10" i="10"/>
  <c r="BT10" i="10"/>
  <c r="CF10" i="10"/>
  <c r="CR10" i="10"/>
  <c r="BI10" i="10"/>
  <c r="BU10" i="10"/>
  <c r="CG10" i="10"/>
  <c r="CS10" i="10"/>
  <c r="BS10" i="10"/>
  <c r="BJ10" i="10"/>
  <c r="BV10" i="10"/>
  <c r="CH10" i="10"/>
  <c r="CT10" i="10"/>
  <c r="BK10" i="10"/>
  <c r="BW10" i="10"/>
  <c r="CI10" i="10"/>
  <c r="CU10" i="10"/>
  <c r="BG10" i="10"/>
  <c r="BL10" i="10"/>
  <c r="BX10" i="10"/>
  <c r="CJ10" i="10"/>
  <c r="CV10" i="10"/>
  <c r="BM10" i="10"/>
  <c r="BY10" i="10"/>
  <c r="CK10" i="10"/>
  <c r="CW10" i="10"/>
  <c r="CE10" i="10"/>
  <c r="BN10" i="10"/>
  <c r="BZ10" i="10"/>
  <c r="CL10" i="10"/>
  <c r="CX10" i="10"/>
  <c r="BO10" i="10"/>
  <c r="CA10" i="10"/>
  <c r="CM10" i="10"/>
  <c r="CY10" i="10"/>
  <c r="BP10" i="10"/>
  <c r="CB10" i="10"/>
  <c r="CN10" i="10"/>
  <c r="CZ10" i="10"/>
  <c r="CQ10" i="10"/>
  <c r="BQ10" i="10"/>
  <c r="CC10" i="10"/>
  <c r="CO10" i="10"/>
  <c r="BR10" i="10"/>
  <c r="CD10" i="10"/>
  <c r="CP10" i="10"/>
  <c r="BF10" i="10"/>
  <c r="AN14" i="10"/>
  <c r="B16" i="10"/>
  <c r="Q26" i="10"/>
  <c r="Q9" i="10"/>
  <c r="B15" i="10"/>
  <c r="Q18" i="10"/>
  <c r="Q41" i="10"/>
  <c r="Q10" i="10"/>
  <c r="Q12" i="10"/>
  <c r="Q20" i="10"/>
  <c r="Q44" i="10"/>
  <c r="C25" i="10"/>
  <c r="Q19" i="10"/>
  <c r="Q6" i="10"/>
  <c r="Q3" i="10"/>
  <c r="Q36" i="10"/>
  <c r="Q33" i="10"/>
  <c r="Q30" i="10"/>
  <c r="Q27" i="10"/>
  <c r="Q39" i="10"/>
  <c r="Q17" i="10"/>
  <c r="Q14" i="10"/>
  <c r="Q7" i="10"/>
  <c r="Q5" i="10"/>
  <c r="Q4" i="10"/>
  <c r="Q42" i="10"/>
  <c r="Q16" i="10"/>
  <c r="Q13" i="10"/>
  <c r="Q24" i="10"/>
  <c r="Q37" i="10"/>
  <c r="Q34" i="10"/>
  <c r="Q31" i="10"/>
  <c r="Q28" i="10"/>
  <c r="Q40" i="10"/>
  <c r="Q25" i="10"/>
  <c r="Q23" i="10"/>
  <c r="Q8" i="10"/>
  <c r="Q43" i="10"/>
  <c r="Q22" i="10"/>
  <c r="B26" i="10"/>
  <c r="Q15" i="10"/>
  <c r="Q29" i="10"/>
  <c r="Q32" i="10"/>
  <c r="Q11" i="10"/>
  <c r="Q21" i="10"/>
  <c r="B6" i="10"/>
  <c r="B5" i="10"/>
  <c r="B7" i="10" s="1"/>
  <c r="Q38" i="10"/>
  <c r="C7" i="9"/>
  <c r="C58" i="9" l="1"/>
  <c r="C59" i="9"/>
  <c r="C60" i="9"/>
  <c r="C61" i="9"/>
  <c r="C62" i="9"/>
  <c r="C56" i="9"/>
  <c r="C57" i="9"/>
  <c r="E45" i="17"/>
  <c r="E25" i="17"/>
  <c r="D35" i="17"/>
  <c r="AN37" i="17"/>
  <c r="AQ37" i="17"/>
  <c r="AO37" i="17"/>
  <c r="AM37" i="17"/>
  <c r="AL39" i="17"/>
  <c r="AM39" i="17" s="1"/>
  <c r="AN39" i="17" s="1"/>
  <c r="AO39" i="17" s="1"/>
  <c r="AP39" i="17" s="1"/>
  <c r="AQ39" i="17" s="1"/>
  <c r="AM42" i="17" s="1"/>
  <c r="E39" i="17"/>
  <c r="D39" i="17" s="1"/>
  <c r="AP37" i="17"/>
  <c r="E46" i="17"/>
  <c r="D46" i="17" s="1"/>
  <c r="E36" i="17"/>
  <c r="B37" i="17" s="1"/>
  <c r="E30" i="17"/>
  <c r="D30" i="17" s="1"/>
  <c r="D26" i="17"/>
  <c r="J22" i="10"/>
  <c r="U22" i="10" s="1"/>
  <c r="W22" i="10" s="1" a="1"/>
  <c r="W22" i="10" s="1"/>
  <c r="J38" i="10"/>
  <c r="U38" i="10" s="1"/>
  <c r="W38" i="10" s="1" a="1"/>
  <c r="W38" i="10" s="1"/>
  <c r="J35" i="10"/>
  <c r="U35" i="10" s="1"/>
  <c r="W35" i="10" s="1" a="1"/>
  <c r="W35" i="10" s="1"/>
  <c r="J32" i="10"/>
  <c r="U32" i="10" s="1"/>
  <c r="W32" i="10" s="1" a="1"/>
  <c r="W32" i="10" s="1"/>
  <c r="J29" i="10"/>
  <c r="U29" i="10" s="1"/>
  <c r="W29" i="10" s="1" a="1"/>
  <c r="W29" i="10" s="1"/>
  <c r="J26" i="10"/>
  <c r="U26" i="10" s="1"/>
  <c r="W26" i="10" s="1" a="1"/>
  <c r="W26" i="10" s="1"/>
  <c r="J10" i="10"/>
  <c r="U10" i="10" s="1"/>
  <c r="W10" i="10" s="1" a="1"/>
  <c r="W10" i="10" s="1"/>
  <c r="J9" i="10"/>
  <c r="U9" i="10" s="1"/>
  <c r="W9" i="10" s="1" a="1"/>
  <c r="W9" i="10" s="1"/>
  <c r="J41" i="10"/>
  <c r="U41" i="10" s="1"/>
  <c r="W41" i="10" s="1" a="1"/>
  <c r="W41" i="10" s="1"/>
  <c r="J46" i="10"/>
  <c r="U46" i="10" s="1"/>
  <c r="W46" i="10" s="1" a="1"/>
  <c r="W46" i="10" s="1"/>
  <c r="J20" i="10"/>
  <c r="U20" i="10" s="1"/>
  <c r="W20" i="10" s="1" a="1"/>
  <c r="W20" i="10" s="1"/>
  <c r="J44" i="10"/>
  <c r="U44" i="10" s="1"/>
  <c r="W44" i="10" s="1" a="1"/>
  <c r="W44" i="10" s="1"/>
  <c r="J19" i="10"/>
  <c r="U19" i="10" s="1"/>
  <c r="W19" i="10" s="1" a="1"/>
  <c r="W19" i="10" s="1"/>
  <c r="J6" i="10"/>
  <c r="U6" i="10" s="1"/>
  <c r="W6" i="10" s="1" a="1"/>
  <c r="W6" i="10" s="1"/>
  <c r="J3" i="10"/>
  <c r="U3" i="10" s="1"/>
  <c r="W3" i="10" s="1" a="1"/>
  <c r="W3" i="10" s="1"/>
  <c r="J36" i="10"/>
  <c r="U36" i="10" s="1"/>
  <c r="W36" i="10" s="1" a="1"/>
  <c r="W36" i="10" s="1"/>
  <c r="J33" i="10"/>
  <c r="U33" i="10" s="1"/>
  <c r="W33" i="10" s="1" a="1"/>
  <c r="W33" i="10" s="1"/>
  <c r="J30" i="10"/>
  <c r="U30" i="10" s="1"/>
  <c r="W30" i="10" s="1" a="1"/>
  <c r="W30" i="10" s="1"/>
  <c r="J27" i="10"/>
  <c r="U27" i="10" s="1"/>
  <c r="W27" i="10" s="1" a="1"/>
  <c r="W27" i="10" s="1"/>
  <c r="J18" i="10"/>
  <c r="U18" i="10" s="1"/>
  <c r="W18" i="10" s="1" a="1"/>
  <c r="W18" i="10" s="1"/>
  <c r="J15" i="10"/>
  <c r="U15" i="10" s="1"/>
  <c r="W15" i="10" s="1" a="1"/>
  <c r="W15" i="10" s="1"/>
  <c r="J12" i="10"/>
  <c r="U12" i="10" s="1"/>
  <c r="W12" i="10" s="1" a="1"/>
  <c r="W12" i="10" s="1"/>
  <c r="J47" i="10"/>
  <c r="U47" i="10" s="1"/>
  <c r="W47" i="10" s="1" a="1"/>
  <c r="W47" i="10" s="1"/>
  <c r="J39" i="10"/>
  <c r="U39" i="10" s="1"/>
  <c r="W39" i="10" s="1" a="1"/>
  <c r="W39" i="10" s="1"/>
  <c r="J17" i="10"/>
  <c r="U17" i="10" s="1"/>
  <c r="W17" i="10" s="1" a="1"/>
  <c r="W17" i="10" s="1"/>
  <c r="J14" i="10"/>
  <c r="U14" i="10" s="1"/>
  <c r="W14" i="10" s="1" a="1"/>
  <c r="W14" i="10" s="1"/>
  <c r="J7" i="10"/>
  <c r="U7" i="10" s="1"/>
  <c r="W7" i="10" s="1" a="1"/>
  <c r="W7" i="10" s="1"/>
  <c r="J5" i="10"/>
  <c r="U5" i="10" s="1"/>
  <c r="W5" i="10" s="1" a="1"/>
  <c r="W5" i="10" s="1"/>
  <c r="J4" i="10"/>
  <c r="U4" i="10" s="1"/>
  <c r="W4" i="10" s="1" a="1"/>
  <c r="W4" i="10" s="1"/>
  <c r="J42" i="10"/>
  <c r="U42" i="10" s="1"/>
  <c r="W42" i="10" s="1" a="1"/>
  <c r="W42" i="10" s="1"/>
  <c r="J16" i="10"/>
  <c r="U16" i="10" s="1"/>
  <c r="W16" i="10" s="1" a="1"/>
  <c r="W16" i="10" s="1"/>
  <c r="J13" i="10"/>
  <c r="U13" i="10" s="1"/>
  <c r="W13" i="10" s="1" a="1"/>
  <c r="W13" i="10" s="1"/>
  <c r="J48" i="10"/>
  <c r="U48" i="10" s="1"/>
  <c r="W48" i="10" s="1" a="1"/>
  <c r="W48" i="10" s="1"/>
  <c r="J24" i="10"/>
  <c r="U24" i="10" s="1"/>
  <c r="W24" i="10" s="1" a="1"/>
  <c r="W24" i="10" s="1"/>
  <c r="J45" i="10"/>
  <c r="U45" i="10" s="1"/>
  <c r="W45" i="10" s="1" a="1"/>
  <c r="W45" i="10" s="1"/>
  <c r="J37" i="10"/>
  <c r="U37" i="10" s="1"/>
  <c r="W37" i="10" s="1" a="1"/>
  <c r="W37" i="10" s="1"/>
  <c r="J34" i="10"/>
  <c r="U34" i="10" s="1"/>
  <c r="W34" i="10" s="1" a="1"/>
  <c r="W34" i="10" s="1"/>
  <c r="J31" i="10"/>
  <c r="U31" i="10" s="1"/>
  <c r="W31" i="10" s="1" a="1"/>
  <c r="W31" i="10" s="1"/>
  <c r="J28" i="10"/>
  <c r="U28" i="10" s="1"/>
  <c r="W28" i="10" s="1" a="1"/>
  <c r="W28" i="10" s="1"/>
  <c r="C7" i="10"/>
  <c r="J40" i="10"/>
  <c r="U40" i="10" s="1"/>
  <c r="W40" i="10" s="1" a="1"/>
  <c r="W40" i="10" s="1"/>
  <c r="J23" i="10"/>
  <c r="U23" i="10" s="1"/>
  <c r="W23" i="10" s="1" a="1"/>
  <c r="W23" i="10" s="1"/>
  <c r="J11" i="10"/>
  <c r="U11" i="10" s="1"/>
  <c r="W11" i="10" s="1" a="1"/>
  <c r="W11" i="10" s="1"/>
  <c r="J25" i="10"/>
  <c r="U25" i="10" s="1"/>
  <c r="W25" i="10" s="1" a="1"/>
  <c r="W25" i="10" s="1"/>
  <c r="J21" i="10"/>
  <c r="U21" i="10" s="1"/>
  <c r="W21" i="10" s="1" a="1"/>
  <c r="W21" i="10" s="1"/>
  <c r="J8" i="10"/>
  <c r="U8" i="10" s="1"/>
  <c r="W8" i="10" s="1" a="1"/>
  <c r="W8" i="10" s="1"/>
  <c r="J49" i="10"/>
  <c r="J43" i="10"/>
  <c r="U43" i="10" s="1"/>
  <c r="W43" i="10" s="1" a="1"/>
  <c r="W43" i="10" s="1"/>
  <c r="I49" i="10"/>
  <c r="V49" i="10" s="1"/>
  <c r="X49" i="10" s="1" a="1"/>
  <c r="X49" i="10" s="1"/>
  <c r="I43" i="10"/>
  <c r="V43" i="10" s="1"/>
  <c r="X43" i="10" s="1" a="1"/>
  <c r="X43" i="10" s="1"/>
  <c r="I22" i="10"/>
  <c r="V22" i="10" s="1"/>
  <c r="X22" i="10" s="1" a="1"/>
  <c r="X22" i="10" s="1"/>
  <c r="I38" i="10"/>
  <c r="V38" i="10" s="1"/>
  <c r="X38" i="10" s="1" a="1"/>
  <c r="X38" i="10" s="1"/>
  <c r="I35" i="10"/>
  <c r="V35" i="10" s="1"/>
  <c r="X35" i="10" s="1" a="1"/>
  <c r="X35" i="10" s="1"/>
  <c r="I32" i="10"/>
  <c r="V32" i="10" s="1"/>
  <c r="X32" i="10" s="1" a="1"/>
  <c r="X32" i="10" s="1"/>
  <c r="I29" i="10"/>
  <c r="V29" i="10" s="1"/>
  <c r="X29" i="10" s="1" a="1"/>
  <c r="X29" i="10" s="1"/>
  <c r="I26" i="10"/>
  <c r="V26" i="10" s="1"/>
  <c r="X26" i="10" s="1" a="1"/>
  <c r="X26" i="10" s="1"/>
  <c r="I41" i="10"/>
  <c r="V41" i="10" s="1"/>
  <c r="X41" i="10" s="1" a="1"/>
  <c r="X41" i="10" s="1"/>
  <c r="I21" i="10"/>
  <c r="V21" i="10" s="1"/>
  <c r="X21" i="10" s="1" a="1"/>
  <c r="X21" i="10" s="1"/>
  <c r="I11" i="10"/>
  <c r="V11" i="10" s="1"/>
  <c r="X11" i="10" s="1" a="1"/>
  <c r="X11" i="10" s="1"/>
  <c r="I46" i="10"/>
  <c r="V46" i="10" s="1"/>
  <c r="X46" i="10" s="1" a="1"/>
  <c r="X46" i="10" s="1"/>
  <c r="I20" i="10"/>
  <c r="V20" i="10" s="1"/>
  <c r="X20" i="10" s="1" a="1"/>
  <c r="X20" i="10" s="1"/>
  <c r="I3" i="10"/>
  <c r="V3" i="10" s="1"/>
  <c r="X3" i="10" s="1" a="1"/>
  <c r="X3" i="10" s="1"/>
  <c r="I44" i="10"/>
  <c r="V44" i="10" s="1"/>
  <c r="X44" i="10" s="1" a="1"/>
  <c r="X44" i="10" s="1"/>
  <c r="I19" i="10"/>
  <c r="V19" i="10" s="1"/>
  <c r="X19" i="10" s="1" a="1"/>
  <c r="X19" i="10" s="1"/>
  <c r="I6" i="10"/>
  <c r="V6" i="10" s="1"/>
  <c r="X6" i="10" s="1" a="1"/>
  <c r="X6" i="10" s="1"/>
  <c r="I36" i="10"/>
  <c r="V36" i="10" s="1"/>
  <c r="X36" i="10" s="1" a="1"/>
  <c r="X36" i="10" s="1"/>
  <c r="I33" i="10"/>
  <c r="V33" i="10" s="1"/>
  <c r="X33" i="10" s="1" a="1"/>
  <c r="X33" i="10" s="1"/>
  <c r="I30" i="10"/>
  <c r="V30" i="10" s="1"/>
  <c r="X30" i="10" s="1" a="1"/>
  <c r="X30" i="10" s="1"/>
  <c r="I27" i="10"/>
  <c r="V27" i="10" s="1"/>
  <c r="X27" i="10" s="1" a="1"/>
  <c r="X27" i="10" s="1"/>
  <c r="I18" i="10"/>
  <c r="V18" i="10" s="1"/>
  <c r="X18" i="10" s="1" a="1"/>
  <c r="X18" i="10" s="1"/>
  <c r="I15" i="10"/>
  <c r="V15" i="10" s="1"/>
  <c r="X15" i="10" s="1" a="1"/>
  <c r="X15" i="10" s="1"/>
  <c r="I12" i="10"/>
  <c r="V12" i="10" s="1"/>
  <c r="X12" i="10" s="1" a="1"/>
  <c r="X12" i="10" s="1"/>
  <c r="I47" i="10"/>
  <c r="V47" i="10" s="1"/>
  <c r="X47" i="10" s="1" a="1"/>
  <c r="X47" i="10" s="1"/>
  <c r="I39" i="10"/>
  <c r="V39" i="10" s="1"/>
  <c r="X39" i="10" s="1" a="1"/>
  <c r="X39" i="10" s="1"/>
  <c r="I17" i="10"/>
  <c r="V17" i="10" s="1"/>
  <c r="X17" i="10" s="1" a="1"/>
  <c r="X17" i="10" s="1"/>
  <c r="I14" i="10"/>
  <c r="V14" i="10" s="1"/>
  <c r="X14" i="10" s="1" a="1"/>
  <c r="X14" i="10" s="1"/>
  <c r="I7" i="10"/>
  <c r="V7" i="10" s="1"/>
  <c r="X7" i="10" s="1" a="1"/>
  <c r="X7" i="10" s="1"/>
  <c r="C6" i="10"/>
  <c r="I5" i="10"/>
  <c r="V5" i="10" s="1"/>
  <c r="X5" i="10" s="1" a="1"/>
  <c r="X5" i="10" s="1"/>
  <c r="I4" i="10"/>
  <c r="V4" i="10" s="1"/>
  <c r="X4" i="10" s="1" a="1"/>
  <c r="X4" i="10" s="1"/>
  <c r="I42" i="10"/>
  <c r="V42" i="10" s="1"/>
  <c r="X42" i="10" s="1" a="1"/>
  <c r="X42" i="10" s="1"/>
  <c r="I16" i="10"/>
  <c r="V16" i="10" s="1"/>
  <c r="X16" i="10" s="1" a="1"/>
  <c r="X16" i="10" s="1"/>
  <c r="I13" i="10"/>
  <c r="V13" i="10" s="1"/>
  <c r="X13" i="10" s="1" a="1"/>
  <c r="X13" i="10" s="1"/>
  <c r="I48" i="10"/>
  <c r="V48" i="10" s="1"/>
  <c r="X48" i="10" s="1" a="1"/>
  <c r="X48" i="10" s="1"/>
  <c r="I24" i="10"/>
  <c r="V24" i="10" s="1"/>
  <c r="X24" i="10" s="1" a="1"/>
  <c r="X24" i="10" s="1"/>
  <c r="I10" i="10"/>
  <c r="V10" i="10" s="1"/>
  <c r="X10" i="10" s="1" a="1"/>
  <c r="X10" i="10" s="1"/>
  <c r="I40" i="10"/>
  <c r="V40" i="10" s="1"/>
  <c r="X40" i="10" s="1" a="1"/>
  <c r="X40" i="10" s="1"/>
  <c r="I28" i="10"/>
  <c r="V28" i="10" s="1"/>
  <c r="X28" i="10" s="1" a="1"/>
  <c r="X28" i="10" s="1"/>
  <c r="I23" i="10"/>
  <c r="V23" i="10" s="1"/>
  <c r="X23" i="10" s="1" a="1"/>
  <c r="X23" i="10" s="1"/>
  <c r="I9" i="10"/>
  <c r="V9" i="10" s="1"/>
  <c r="X9" i="10" s="1" a="1"/>
  <c r="X9" i="10" s="1"/>
  <c r="I34" i="10"/>
  <c r="V34" i="10" s="1"/>
  <c r="X34" i="10" s="1" a="1"/>
  <c r="X34" i="10" s="1"/>
  <c r="I31" i="10"/>
  <c r="V31" i="10" s="1"/>
  <c r="X31" i="10" s="1" a="1"/>
  <c r="X31" i="10" s="1"/>
  <c r="I25" i="10"/>
  <c r="V25" i="10" s="1"/>
  <c r="X25" i="10" s="1" a="1"/>
  <c r="X25" i="10" s="1"/>
  <c r="I8" i="10"/>
  <c r="V8" i="10" s="1"/>
  <c r="X8" i="10" s="1" a="1"/>
  <c r="X8" i="10" s="1"/>
  <c r="I37" i="10"/>
  <c r="V37" i="10" s="1"/>
  <c r="X37" i="10" s="1" a="1"/>
  <c r="X37" i="10" s="1"/>
  <c r="I45" i="10"/>
  <c r="V45" i="10" s="1"/>
  <c r="X45" i="10" s="1" a="1"/>
  <c r="X45" i="10" s="1"/>
  <c r="N41" i="10"/>
  <c r="N21" i="10"/>
  <c r="N11" i="10"/>
  <c r="N46" i="10"/>
  <c r="N20" i="10"/>
  <c r="N44" i="10"/>
  <c r="N36" i="10"/>
  <c r="N33" i="10"/>
  <c r="N30" i="10"/>
  <c r="N27" i="10"/>
  <c r="N18" i="10"/>
  <c r="N15" i="10"/>
  <c r="N12" i="10"/>
  <c r="N47" i="10"/>
  <c r="N39" i="10"/>
  <c r="N17" i="10"/>
  <c r="N14" i="10"/>
  <c r="N7" i="10"/>
  <c r="N5" i="10"/>
  <c r="N4" i="10"/>
  <c r="N42" i="10"/>
  <c r="N16" i="10"/>
  <c r="N13" i="10"/>
  <c r="N48" i="10"/>
  <c r="N24" i="10"/>
  <c r="N45" i="10"/>
  <c r="N37" i="10"/>
  <c r="N34" i="10"/>
  <c r="N31" i="10"/>
  <c r="N28" i="10"/>
  <c r="N40" i="10"/>
  <c r="N25" i="10"/>
  <c r="N23" i="10"/>
  <c r="N8" i="10"/>
  <c r="N43" i="10"/>
  <c r="N32" i="10"/>
  <c r="N38" i="10"/>
  <c r="N19" i="10"/>
  <c r="N10" i="10"/>
  <c r="N26" i="10"/>
  <c r="N29" i="10"/>
  <c r="N9" i="10"/>
  <c r="N6" i="10"/>
  <c r="N3" i="10"/>
  <c r="N35" i="10"/>
  <c r="N22" i="10"/>
  <c r="C16" i="10"/>
  <c r="R44" i="10"/>
  <c r="R19" i="10"/>
  <c r="R6" i="10"/>
  <c r="R3" i="10"/>
  <c r="R36" i="10"/>
  <c r="R33" i="10"/>
  <c r="R30" i="10"/>
  <c r="R27" i="10"/>
  <c r="R18" i="10"/>
  <c r="R15" i="10"/>
  <c r="R12" i="10"/>
  <c r="R39" i="10"/>
  <c r="R42" i="10"/>
  <c r="R16" i="10"/>
  <c r="R13" i="10"/>
  <c r="C26" i="10"/>
  <c r="R24" i="10"/>
  <c r="R37" i="10"/>
  <c r="R34" i="10"/>
  <c r="R31" i="10"/>
  <c r="R28" i="10"/>
  <c r="R40" i="10"/>
  <c r="R25" i="10"/>
  <c r="R23" i="10"/>
  <c r="R8" i="10"/>
  <c r="R43" i="10"/>
  <c r="R22" i="10"/>
  <c r="R38" i="10"/>
  <c r="R35" i="10"/>
  <c r="R32" i="10"/>
  <c r="R29" i="10"/>
  <c r="R26" i="10"/>
  <c r="R10" i="10"/>
  <c r="R9" i="10"/>
  <c r="R14" i="10"/>
  <c r="R21" i="10"/>
  <c r="R17" i="10"/>
  <c r="R11" i="10"/>
  <c r="R7" i="10"/>
  <c r="R4" i="10"/>
  <c r="R5" i="10"/>
  <c r="R41" i="10"/>
  <c r="R20" i="10"/>
  <c r="M38" i="10"/>
  <c r="M35" i="10"/>
  <c r="M32" i="10"/>
  <c r="M29" i="10"/>
  <c r="M26" i="10"/>
  <c r="M10" i="10"/>
  <c r="M9" i="10"/>
  <c r="M41" i="10"/>
  <c r="M11" i="10"/>
  <c r="M46" i="10"/>
  <c r="M44" i="10"/>
  <c r="M19" i="10"/>
  <c r="M6" i="10"/>
  <c r="M3" i="10"/>
  <c r="M36" i="10"/>
  <c r="M33" i="10"/>
  <c r="M30" i="10"/>
  <c r="M27" i="10"/>
  <c r="M18" i="10"/>
  <c r="M15" i="10"/>
  <c r="M12" i="10"/>
  <c r="M47" i="10"/>
  <c r="M39" i="10"/>
  <c r="M17" i="10"/>
  <c r="M14" i="10"/>
  <c r="M7" i="10"/>
  <c r="M5" i="10"/>
  <c r="M4" i="10"/>
  <c r="M42" i="10"/>
  <c r="M16" i="10"/>
  <c r="M13" i="10"/>
  <c r="M48" i="10"/>
  <c r="M24" i="10"/>
  <c r="M45" i="10"/>
  <c r="M37" i="10"/>
  <c r="M34" i="10"/>
  <c r="M31" i="10"/>
  <c r="M28" i="10"/>
  <c r="C15" i="10"/>
  <c r="M40" i="10"/>
  <c r="M25" i="10"/>
  <c r="M23" i="10"/>
  <c r="M8" i="10"/>
  <c r="M43" i="10"/>
  <c r="C50" i="9"/>
  <c r="C44" i="9"/>
  <c r="C38" i="9"/>
  <c r="C32" i="9"/>
  <c r="C26" i="9"/>
  <c r="C20" i="9"/>
  <c r="C14" i="9"/>
  <c r="C15" i="9"/>
  <c r="C55" i="9"/>
  <c r="C49" i="9"/>
  <c r="C43" i="9"/>
  <c r="C37" i="9"/>
  <c r="C31" i="9"/>
  <c r="C25" i="9"/>
  <c r="C19" i="9"/>
  <c r="C13" i="9"/>
  <c r="C27" i="9"/>
  <c r="C54" i="9"/>
  <c r="C48" i="9"/>
  <c r="C42" i="9"/>
  <c r="C36" i="9"/>
  <c r="C30" i="9"/>
  <c r="C24" i="9"/>
  <c r="C18" i="9"/>
  <c r="C12" i="9"/>
  <c r="C21" i="9"/>
  <c r="C33" i="9"/>
  <c r="C53" i="9"/>
  <c r="C47" i="9"/>
  <c r="C41" i="9"/>
  <c r="C35" i="9"/>
  <c r="C29" i="9"/>
  <c r="C23" i="9"/>
  <c r="C17" i="9"/>
  <c r="C11" i="9"/>
  <c r="C39" i="9"/>
  <c r="C52" i="9"/>
  <c r="C46" i="9"/>
  <c r="C40" i="9"/>
  <c r="C34" i="9"/>
  <c r="C28" i="9"/>
  <c r="C22" i="9"/>
  <c r="C16" i="9"/>
  <c r="C8" i="9"/>
  <c r="C45" i="9"/>
  <c r="C51" i="9"/>
  <c r="D56" i="9" l="1" a="1"/>
  <c r="D56" i="9" s="1"/>
  <c r="E56" i="9" a="1"/>
  <c r="E56" i="9" s="1"/>
  <c r="F56" i="9" a="1"/>
  <c r="F56" i="9" s="1"/>
  <c r="D62" i="9" a="1"/>
  <c r="D62" i="9" s="1"/>
  <c r="E62" i="9" a="1"/>
  <c r="E62" i="9" s="1"/>
  <c r="F62" i="9" a="1"/>
  <c r="F62" i="9" s="1"/>
  <c r="D61" i="9" a="1"/>
  <c r="D61" i="9" s="1"/>
  <c r="E61" i="9" a="1"/>
  <c r="E61" i="9" s="1"/>
  <c r="F61" i="9" a="1"/>
  <c r="F61" i="9" s="1"/>
  <c r="F60" i="9" a="1"/>
  <c r="F60" i="9" s="1"/>
  <c r="E60" i="9" a="1"/>
  <c r="E60" i="9" s="1"/>
  <c r="D60" i="9" a="1"/>
  <c r="D60" i="9" s="1"/>
  <c r="F59" i="9" a="1"/>
  <c r="F59" i="9" s="1"/>
  <c r="D59" i="9" a="1"/>
  <c r="D59" i="9" s="1"/>
  <c r="E59" i="9" a="1"/>
  <c r="E59" i="9" s="1"/>
  <c r="D58" i="9" a="1"/>
  <c r="D58" i="9" s="1"/>
  <c r="E58" i="9" a="1"/>
  <c r="E58" i="9" s="1"/>
  <c r="F58" i="9" a="1"/>
  <c r="F58" i="9" s="1"/>
  <c r="G57" i="9"/>
  <c r="E57" i="9" a="1"/>
  <c r="E57" i="9" s="1"/>
  <c r="F57" i="9" a="1"/>
  <c r="F57" i="9" s="1"/>
  <c r="D57" i="9" a="1"/>
  <c r="D57" i="9" s="1"/>
  <c r="U49" i="10"/>
  <c r="W49" i="10" s="1" a="1"/>
  <c r="W49" i="10" s="1"/>
  <c r="D27" i="9" a="1"/>
  <c r="D27" i="9" s="1"/>
  <c r="E27" i="9" a="1"/>
  <c r="E27" i="9" s="1"/>
  <c r="F27" i="9" a="1"/>
  <c r="F27" i="9" s="1"/>
  <c r="K40" i="9" a="1"/>
  <c r="K40" i="9" s="1"/>
  <c r="L40" i="9" a="1"/>
  <c r="L40" i="9" s="1"/>
  <c r="M40" i="9" a="1"/>
  <c r="M40" i="9" s="1"/>
  <c r="D26" i="9" a="1"/>
  <c r="D26" i="9" s="1"/>
  <c r="F26" i="9" a="1"/>
  <c r="F26" i="9" s="1"/>
  <c r="E26" i="9" a="1"/>
  <c r="E26" i="9" s="1"/>
  <c r="K41" i="9" a="1"/>
  <c r="K41" i="9" s="1"/>
  <c r="L41" i="9" a="1"/>
  <c r="L41" i="9" s="1"/>
  <c r="M41" i="9" a="1"/>
  <c r="M41" i="9" s="1"/>
  <c r="E19" i="9" a="1"/>
  <c r="E19" i="9" s="1"/>
  <c r="F19" i="9" a="1"/>
  <c r="F19" i="9" s="1"/>
  <c r="D19" i="9" a="1"/>
  <c r="D19" i="9" s="1"/>
  <c r="D51" i="9" a="1"/>
  <c r="D51" i="9" s="1"/>
  <c r="F51" i="9" a="1"/>
  <c r="F51" i="9" s="1"/>
  <c r="E51" i="9" a="1"/>
  <c r="E51" i="9" s="1"/>
  <c r="D25" i="9" a="1"/>
  <c r="D25" i="9" s="1"/>
  <c r="F25" i="9" a="1"/>
  <c r="F25" i="9" s="1"/>
  <c r="E25" i="9" a="1"/>
  <c r="E25" i="9" s="1"/>
  <c r="E38" i="9" a="1"/>
  <c r="E38" i="9" s="1"/>
  <c r="D38" i="9" a="1"/>
  <c r="D38" i="9" s="1"/>
  <c r="F38" i="9" a="1"/>
  <c r="F38" i="9" s="1"/>
  <c r="K57" i="9" a="1"/>
  <c r="K57" i="9" s="1"/>
  <c r="L57" i="9" a="1"/>
  <c r="L57" i="9" s="1"/>
  <c r="M57" i="9" a="1"/>
  <c r="M57" i="9" s="1"/>
  <c r="K60" i="9" a="1"/>
  <c r="K60" i="9" s="1"/>
  <c r="L60" i="9" a="1"/>
  <c r="L60" i="9" s="1"/>
  <c r="M60" i="9" a="1"/>
  <c r="M60" i="9" s="1"/>
  <c r="M11" i="9" a="1"/>
  <c r="M11" i="9" s="1"/>
  <c r="L11" i="9" a="1"/>
  <c r="L11" i="9" s="1"/>
  <c r="K11" i="9" a="1"/>
  <c r="K11" i="9" s="1"/>
  <c r="K50" i="9" a="1"/>
  <c r="K50" i="9" s="1"/>
  <c r="L50" i="9" a="1"/>
  <c r="L50" i="9" s="1"/>
  <c r="M50" i="9" a="1"/>
  <c r="M50" i="9" s="1"/>
  <c r="D52" i="9" a="1"/>
  <c r="D52" i="9" s="1"/>
  <c r="E52" i="9" a="1"/>
  <c r="E52" i="9" s="1"/>
  <c r="F52" i="9" a="1"/>
  <c r="F52" i="9" s="1"/>
  <c r="K58" i="9" a="1"/>
  <c r="K58" i="9" s="1"/>
  <c r="L58" i="9" a="1"/>
  <c r="L58" i="9" s="1"/>
  <c r="M58" i="9" a="1"/>
  <c r="M58" i="9" s="1"/>
  <c r="K22" i="9" a="1"/>
  <c r="K22" i="9" s="1"/>
  <c r="L22" i="9" a="1"/>
  <c r="L22" i="9" s="1"/>
  <c r="M22" i="9" a="1"/>
  <c r="M22" i="9" s="1"/>
  <c r="F45" i="9" a="1"/>
  <c r="F45" i="9" s="1"/>
  <c r="E45" i="9" a="1"/>
  <c r="E45" i="9" s="1"/>
  <c r="D45" i="9" a="1"/>
  <c r="D45" i="9" s="1"/>
  <c r="F11" i="9" a="1"/>
  <c r="F11" i="9" s="1"/>
  <c r="D11" i="9" a="1"/>
  <c r="D11" i="9" s="1"/>
  <c r="E11" i="9" a="1"/>
  <c r="E11" i="9" s="1"/>
  <c r="D18" i="9" a="1"/>
  <c r="D18" i="9" s="1"/>
  <c r="E18" i="9" a="1"/>
  <c r="E18" i="9" s="1"/>
  <c r="F18" i="9" a="1"/>
  <c r="F18" i="9" s="1"/>
  <c r="E31" i="9" a="1"/>
  <c r="E31" i="9" s="1"/>
  <c r="F31" i="9" a="1"/>
  <c r="F31" i="9" s="1"/>
  <c r="D31" i="9" a="1"/>
  <c r="D31" i="9" s="1"/>
  <c r="F44" i="9" a="1"/>
  <c r="F44" i="9" s="1"/>
  <c r="D44" i="9" a="1"/>
  <c r="D44" i="9" s="1"/>
  <c r="E44" i="9" a="1"/>
  <c r="E44" i="9" s="1"/>
  <c r="K51" i="9" a="1"/>
  <c r="K51" i="9" s="1"/>
  <c r="L51" i="9" a="1"/>
  <c r="L51" i="9" s="1"/>
  <c r="M51" i="9" a="1"/>
  <c r="M51" i="9" s="1"/>
  <c r="L32" i="9" a="1"/>
  <c r="L32" i="9" s="1"/>
  <c r="K32" i="9" a="1"/>
  <c r="K32" i="9" s="1"/>
  <c r="M32" i="9" a="1"/>
  <c r="M32" i="9" s="1"/>
  <c r="K17" i="9" a="1"/>
  <c r="K17" i="9" s="1"/>
  <c r="L17" i="9" a="1"/>
  <c r="L17" i="9" s="1"/>
  <c r="M17" i="9" a="1"/>
  <c r="M17" i="9" s="1"/>
  <c r="K36" i="9" a="1"/>
  <c r="K36" i="9" s="1"/>
  <c r="L36" i="9" a="1"/>
  <c r="L36" i="9" s="1"/>
  <c r="M36" i="9" a="1"/>
  <c r="M36" i="9" s="1"/>
  <c r="K21" i="9" a="1"/>
  <c r="K21" i="9" s="1"/>
  <c r="L21" i="9" a="1"/>
  <c r="L21" i="9" s="1"/>
  <c r="M21" i="9" a="1"/>
  <c r="M21" i="9" s="1"/>
  <c r="D37" i="9" a="1"/>
  <c r="D37" i="9" s="1"/>
  <c r="E37" i="9" a="1"/>
  <c r="E37" i="9" s="1"/>
  <c r="F37" i="9" a="1"/>
  <c r="F37" i="9" s="1"/>
  <c r="K26" i="9" a="1"/>
  <c r="K26" i="9" s="1"/>
  <c r="L26" i="9" a="1"/>
  <c r="L26" i="9" s="1"/>
  <c r="M26" i="9" a="1"/>
  <c r="M26" i="9" s="1"/>
  <c r="L38" i="9" a="1"/>
  <c r="L38" i="9" s="1"/>
  <c r="M38" i="9" a="1"/>
  <c r="M38" i="9" s="1"/>
  <c r="K38" i="9" a="1"/>
  <c r="K38" i="9" s="1"/>
  <c r="K14" i="9" a="1"/>
  <c r="K14" i="9" s="1"/>
  <c r="L14" i="9" a="1"/>
  <c r="L14" i="9" s="1"/>
  <c r="M14" i="9" a="1"/>
  <c r="M14" i="9" s="1"/>
  <c r="K45" i="9" a="1"/>
  <c r="K45" i="9" s="1"/>
  <c r="L45" i="9" a="1"/>
  <c r="L45" i="9" s="1"/>
  <c r="M45" i="9" a="1"/>
  <c r="M45" i="9" s="1"/>
  <c r="D39" i="9" a="1"/>
  <c r="D39" i="9" s="1"/>
  <c r="E39" i="9" a="1"/>
  <c r="E39" i="9" s="1"/>
  <c r="F39" i="9" a="1"/>
  <c r="F39" i="9" s="1"/>
  <c r="D17" i="9" a="1"/>
  <c r="D17" i="9" s="1"/>
  <c r="E17" i="9" a="1"/>
  <c r="E17" i="9" s="1"/>
  <c r="F17" i="9" a="1"/>
  <c r="F17" i="9" s="1"/>
  <c r="E24" i="9" a="1"/>
  <c r="E24" i="9" s="1"/>
  <c r="F24" i="9" a="1"/>
  <c r="F24" i="9" s="1"/>
  <c r="D24" i="9" a="1"/>
  <c r="D24" i="9" s="1"/>
  <c r="D50" i="9" a="1"/>
  <c r="D50" i="9" s="1"/>
  <c r="E50" i="9" a="1"/>
  <c r="E50" i="9" s="1"/>
  <c r="F50" i="9" a="1"/>
  <c r="F50" i="9" s="1"/>
  <c r="F16" i="9" a="1"/>
  <c r="F16" i="9" s="1"/>
  <c r="D16" i="9" a="1"/>
  <c r="D16" i="9" s="1"/>
  <c r="E16" i="9" a="1"/>
  <c r="E16" i="9" s="1"/>
  <c r="F23" i="9" a="1"/>
  <c r="F23" i="9" s="1"/>
  <c r="D23" i="9" a="1"/>
  <c r="D23" i="9" s="1"/>
  <c r="E23" i="9" a="1"/>
  <c r="E23" i="9" s="1"/>
  <c r="D30" i="9" a="1"/>
  <c r="D30" i="9" s="1"/>
  <c r="E30" i="9" a="1"/>
  <c r="E30" i="9" s="1"/>
  <c r="F30" i="9" a="1"/>
  <c r="F30" i="9" s="1"/>
  <c r="E43" i="9" a="1"/>
  <c r="E43" i="9" s="1"/>
  <c r="F43" i="9" a="1"/>
  <c r="F43" i="9" s="1"/>
  <c r="D43" i="9" a="1"/>
  <c r="D43" i="9" s="1"/>
  <c r="M49" i="9" a="1"/>
  <c r="M49" i="9" s="1"/>
  <c r="K49" i="9" a="1"/>
  <c r="K49" i="9" s="1"/>
  <c r="L49" i="9" a="1"/>
  <c r="L49" i="9" s="1"/>
  <c r="K44" i="9" a="1"/>
  <c r="K44" i="9" s="1"/>
  <c r="L44" i="9" a="1"/>
  <c r="L44" i="9" s="1"/>
  <c r="M44" i="9" a="1"/>
  <c r="M44" i="9" s="1"/>
  <c r="L31" i="9" a="1"/>
  <c r="L31" i="9" s="1"/>
  <c r="M31" i="9" a="1"/>
  <c r="M31" i="9" s="1"/>
  <c r="K31" i="9" a="1"/>
  <c r="K31" i="9" s="1"/>
  <c r="K27" i="9" a="1"/>
  <c r="K27" i="9" s="1"/>
  <c r="L27" i="9" a="1"/>
  <c r="L27" i="9" s="1"/>
  <c r="M27" i="9" a="1"/>
  <c r="M27" i="9" s="1"/>
  <c r="M15" i="9" a="1"/>
  <c r="M15" i="9" s="1"/>
  <c r="L15" i="9" a="1"/>
  <c r="L15" i="9" s="1"/>
  <c r="K15" i="9" a="1"/>
  <c r="K15" i="9" s="1"/>
  <c r="D33" i="9" a="1"/>
  <c r="D33" i="9" s="1"/>
  <c r="E33" i="9" a="1"/>
  <c r="E33" i="9" s="1"/>
  <c r="F33" i="9" a="1"/>
  <c r="F33" i="9" s="1"/>
  <c r="E32" i="9" a="1"/>
  <c r="E32" i="9" s="1"/>
  <c r="D32" i="9" a="1"/>
  <c r="D32" i="9" s="1"/>
  <c r="F32" i="9" a="1"/>
  <c r="F32" i="9" s="1"/>
  <c r="D12" i="9" a="1"/>
  <c r="D12" i="9" s="1"/>
  <c r="F12" i="9" a="1"/>
  <c r="F12" i="9" s="1"/>
  <c r="E12" i="9" a="1"/>
  <c r="E12" i="9" s="1"/>
  <c r="D22" i="9" a="1"/>
  <c r="D22" i="9" s="1"/>
  <c r="F22" i="9" a="1"/>
  <c r="F22" i="9" s="1"/>
  <c r="E22" i="9" a="1"/>
  <c r="E22" i="9" s="1"/>
  <c r="F29" i="9" a="1"/>
  <c r="F29" i="9" s="1"/>
  <c r="D29" i="9" a="1"/>
  <c r="D29" i="9" s="1"/>
  <c r="E29" i="9" a="1"/>
  <c r="E29" i="9" s="1"/>
  <c r="E36" i="9" a="1"/>
  <c r="E36" i="9" s="1"/>
  <c r="F36" i="9" a="1"/>
  <c r="F36" i="9" s="1"/>
  <c r="D36" i="9" a="1"/>
  <c r="D36" i="9" s="1"/>
  <c r="D49" i="9" a="1"/>
  <c r="D49" i="9" s="1"/>
  <c r="E49" i="9" a="1"/>
  <c r="E49" i="9" s="1"/>
  <c r="F49" i="9" a="1"/>
  <c r="F49" i="9" s="1"/>
  <c r="K25" i="9" a="1"/>
  <c r="K25" i="9" s="1"/>
  <c r="L25" i="9" a="1"/>
  <c r="L25" i="9" s="1"/>
  <c r="M25" i="9" a="1"/>
  <c r="M25" i="9" s="1"/>
  <c r="K56" i="9" a="1"/>
  <c r="K56" i="9" s="1"/>
  <c r="L56" i="9" a="1"/>
  <c r="L56" i="9" s="1"/>
  <c r="M56" i="9" a="1"/>
  <c r="M56" i="9" s="1"/>
  <c r="M23" i="9" a="1"/>
  <c r="M23" i="9" s="1"/>
  <c r="K23" i="9" a="1"/>
  <c r="K23" i="9" s="1"/>
  <c r="L23" i="9" a="1"/>
  <c r="L23" i="9" s="1"/>
  <c r="K29" i="9" a="1"/>
  <c r="K29" i="9" s="1"/>
  <c r="L29" i="9" a="1"/>
  <c r="L29" i="9" s="1"/>
  <c r="M29" i="9" a="1"/>
  <c r="M29" i="9" s="1"/>
  <c r="L20" i="9" a="1"/>
  <c r="L20" i="9" s="1"/>
  <c r="M20" i="9" a="1"/>
  <c r="M20" i="9" s="1"/>
  <c r="K20" i="9" a="1"/>
  <c r="K20" i="9" s="1"/>
  <c r="L61" i="9" a="1"/>
  <c r="L61" i="9" s="1"/>
  <c r="K61" i="9" a="1"/>
  <c r="K61" i="9" s="1"/>
  <c r="M61" i="9" a="1"/>
  <c r="M61" i="9" s="1"/>
  <c r="F35" i="9" a="1"/>
  <c r="F35" i="9" s="1"/>
  <c r="E35" i="9" a="1"/>
  <c r="E35" i="9" s="1"/>
  <c r="D35" i="9" a="1"/>
  <c r="D35" i="9" s="1"/>
  <c r="F42" i="9" a="1"/>
  <c r="F42" i="9" s="1"/>
  <c r="D42" i="9" a="1"/>
  <c r="D42" i="9" s="1"/>
  <c r="E42" i="9" a="1"/>
  <c r="E42" i="9" s="1"/>
  <c r="E55" i="9" a="1"/>
  <c r="E55" i="9" s="1"/>
  <c r="F55" i="9" a="1"/>
  <c r="F55" i="9" s="1"/>
  <c r="D55" i="9" a="1"/>
  <c r="D55" i="9" s="1"/>
  <c r="M18" i="9" a="1"/>
  <c r="M18" i="9" s="1"/>
  <c r="L18" i="9" a="1"/>
  <c r="L18" i="9" s="1"/>
  <c r="K18" i="9" a="1"/>
  <c r="K18" i="9" s="1"/>
  <c r="L24" i="9" a="1"/>
  <c r="L24" i="9" s="1"/>
  <c r="M24" i="9" a="1"/>
  <c r="M24" i="9" s="1"/>
  <c r="K24" i="9" a="1"/>
  <c r="K24" i="9" s="1"/>
  <c r="K42" i="9" a="1"/>
  <c r="K42" i="9" s="1"/>
  <c r="M42" i="9" a="1"/>
  <c r="M42" i="9" s="1"/>
  <c r="L42" i="9" a="1"/>
  <c r="L42" i="9" s="1"/>
  <c r="L54" i="9" a="1"/>
  <c r="L54" i="9" s="1"/>
  <c r="M54" i="9" a="1"/>
  <c r="M54" i="9" s="1"/>
  <c r="K54" i="9" a="1"/>
  <c r="K54" i="9" s="1"/>
  <c r="K39" i="9" a="1"/>
  <c r="K39" i="9" s="1"/>
  <c r="L39" i="9" a="1"/>
  <c r="L39" i="9" s="1"/>
  <c r="M39" i="9" a="1"/>
  <c r="M39" i="9" s="1"/>
  <c r="F13" i="9" a="1"/>
  <c r="F13" i="9" s="1"/>
  <c r="D13" i="9" a="1"/>
  <c r="D13" i="9" s="1"/>
  <c r="E13" i="9" a="1"/>
  <c r="E13" i="9" s="1"/>
  <c r="K13" i="9" a="1"/>
  <c r="K13" i="9" s="1"/>
  <c r="L13" i="9" a="1"/>
  <c r="L13" i="9" s="1"/>
  <c r="M13" i="9" a="1"/>
  <c r="M13" i="9" s="1"/>
  <c r="E41" i="9" a="1"/>
  <c r="E41" i="9" s="1"/>
  <c r="F41" i="9" a="1"/>
  <c r="F41" i="9" s="1"/>
  <c r="D41" i="9" a="1"/>
  <c r="D41" i="9" s="1"/>
  <c r="E48" i="9" a="1"/>
  <c r="E48" i="9" s="1"/>
  <c r="D48" i="9" a="1"/>
  <c r="D48" i="9" s="1"/>
  <c r="F48" i="9" a="1"/>
  <c r="F48" i="9" s="1"/>
  <c r="K19" i="9" a="1"/>
  <c r="K19" i="9" s="1"/>
  <c r="L19" i="9" a="1"/>
  <c r="L19" i="9" s="1"/>
  <c r="M19" i="9" a="1"/>
  <c r="M19" i="9" s="1"/>
  <c r="L35" i="9" a="1"/>
  <c r="L35" i="9" s="1"/>
  <c r="M35" i="9" a="1"/>
  <c r="M35" i="9" s="1"/>
  <c r="K35" i="9" a="1"/>
  <c r="K35" i="9" s="1"/>
  <c r="K53" i="9" a="1"/>
  <c r="K53" i="9" s="1"/>
  <c r="L53" i="9" a="1"/>
  <c r="L53" i="9" s="1"/>
  <c r="M53" i="9" a="1"/>
  <c r="M53" i="9" s="1"/>
  <c r="M47" i="9" a="1"/>
  <c r="M47" i="9" s="1"/>
  <c r="L47" i="9" a="1"/>
  <c r="L47" i="9" s="1"/>
  <c r="K47" i="9" a="1"/>
  <c r="K47" i="9" s="1"/>
  <c r="F20" i="9" a="1"/>
  <c r="F20" i="9" s="1"/>
  <c r="D20" i="9" a="1"/>
  <c r="D20" i="9" s="1"/>
  <c r="E20" i="9" a="1"/>
  <c r="E20" i="9" s="1"/>
  <c r="K37" i="9" a="1"/>
  <c r="K37" i="9" s="1"/>
  <c r="L37" i="9" a="1"/>
  <c r="L37" i="9" s="1"/>
  <c r="M37" i="9" a="1"/>
  <c r="M37" i="9" s="1"/>
  <c r="D47" i="9" a="1"/>
  <c r="D47" i="9" s="1"/>
  <c r="F47" i="9" a="1"/>
  <c r="F47" i="9" s="1"/>
  <c r="E47" i="9" a="1"/>
  <c r="E47" i="9" s="1"/>
  <c r="M62" i="9" a="1"/>
  <c r="M62" i="9" s="1"/>
  <c r="K62" i="9" a="1"/>
  <c r="K62" i="9" s="1"/>
  <c r="L62" i="9" a="1"/>
  <c r="L62" i="9" s="1"/>
  <c r="K28" i="9" a="1"/>
  <c r="K28" i="9" s="1"/>
  <c r="L28" i="9" a="1"/>
  <c r="L28" i="9" s="1"/>
  <c r="M28" i="9" a="1"/>
  <c r="M28" i="9" s="1"/>
  <c r="K33" i="9" a="1"/>
  <c r="K33" i="9" s="1"/>
  <c r="L33" i="9" a="1"/>
  <c r="L33" i="9" s="1"/>
  <c r="M33" i="9" a="1"/>
  <c r="M33" i="9" s="1"/>
  <c r="K16" i="9" a="1"/>
  <c r="K16" i="9" s="1"/>
  <c r="L16" i="9" a="1"/>
  <c r="L16" i="9" s="1"/>
  <c r="M16" i="9" a="1"/>
  <c r="M16" i="9" s="1"/>
  <c r="M46" i="9" a="1"/>
  <c r="M46" i="9" s="1"/>
  <c r="K46" i="9" a="1"/>
  <c r="K46" i="9" s="1"/>
  <c r="L46" i="9" a="1"/>
  <c r="L46" i="9" s="1"/>
  <c r="F21" i="9" a="1"/>
  <c r="F21" i="9" s="1"/>
  <c r="D21" i="9" a="1"/>
  <c r="D21" i="9" s="1"/>
  <c r="E21" i="9" a="1"/>
  <c r="E21" i="9" s="1"/>
  <c r="D28" i="9" a="1"/>
  <c r="D28" i="9" s="1"/>
  <c r="E28" i="9" a="1"/>
  <c r="E28" i="9" s="1"/>
  <c r="F28" i="9" a="1"/>
  <c r="F28" i="9" s="1"/>
  <c r="F34" i="9" a="1"/>
  <c r="F34" i="9" s="1"/>
  <c r="D34" i="9" a="1"/>
  <c r="D34" i="9" s="1"/>
  <c r="E34" i="9" a="1"/>
  <c r="E34" i="9" s="1"/>
  <c r="E40" i="9" a="1"/>
  <c r="E40" i="9" s="1"/>
  <c r="D40" i="9" a="1"/>
  <c r="D40" i="9" s="1"/>
  <c r="F40" i="9" a="1"/>
  <c r="F40" i="9" s="1"/>
  <c r="D54" i="9" a="1"/>
  <c r="D54" i="9" s="1"/>
  <c r="E54" i="9" a="1"/>
  <c r="E54" i="9" s="1"/>
  <c r="F54" i="9" a="1"/>
  <c r="F54" i="9" s="1"/>
  <c r="F15" i="9" a="1"/>
  <c r="F15" i="9" s="1"/>
  <c r="E15" i="9" a="1"/>
  <c r="E15" i="9" s="1"/>
  <c r="D15" i="9" a="1"/>
  <c r="D15" i="9" s="1"/>
  <c r="D46" i="9" a="1"/>
  <c r="D46" i="9" s="1"/>
  <c r="F46" i="9" a="1"/>
  <c r="F46" i="9" s="1"/>
  <c r="E46" i="9" a="1"/>
  <c r="E46" i="9" s="1"/>
  <c r="E53" i="9" a="1"/>
  <c r="E53" i="9" s="1"/>
  <c r="F53" i="9" a="1"/>
  <c r="F53" i="9" s="1"/>
  <c r="D53" i="9" a="1"/>
  <c r="D53" i="9" s="1"/>
  <c r="F14" i="9" a="1"/>
  <c r="F14" i="9" s="1"/>
  <c r="D14" i="9" a="1"/>
  <c r="D14" i="9" s="1"/>
  <c r="E14" i="9" a="1"/>
  <c r="E14" i="9" s="1"/>
  <c r="K55" i="9" a="1"/>
  <c r="K55" i="9" s="1"/>
  <c r="L55" i="9" a="1"/>
  <c r="L55" i="9" s="1"/>
  <c r="M55" i="9" a="1"/>
  <c r="M55" i="9" s="1"/>
  <c r="K34" i="9" a="1"/>
  <c r="K34" i="9" s="1"/>
  <c r="L34" i="9" a="1"/>
  <c r="L34" i="9" s="1"/>
  <c r="M34" i="9" a="1"/>
  <c r="M34" i="9" s="1"/>
  <c r="M59" i="9" a="1"/>
  <c r="M59" i="9" s="1"/>
  <c r="K59" i="9" a="1"/>
  <c r="K59" i="9" s="1"/>
  <c r="L59" i="9" a="1"/>
  <c r="L59" i="9" s="1"/>
  <c r="K43" i="9" a="1"/>
  <c r="K43" i="9" s="1"/>
  <c r="L43" i="9" a="1"/>
  <c r="L43" i="9" s="1"/>
  <c r="M43" i="9" a="1"/>
  <c r="M43" i="9" s="1"/>
  <c r="K12" i="9" a="1"/>
  <c r="K12" i="9" s="1"/>
  <c r="L12" i="9" a="1"/>
  <c r="L12" i="9" s="1"/>
  <c r="M12" i="9" a="1"/>
  <c r="M12" i="9" s="1"/>
  <c r="B27" i="17"/>
  <c r="E29" i="17"/>
  <c r="D25" i="17"/>
  <c r="AL40" i="17"/>
  <c r="D36" i="17"/>
  <c r="AM38" i="17"/>
  <c r="AO38" i="17"/>
  <c r="AQ38" i="17"/>
  <c r="AN38" i="17"/>
  <c r="AP38" i="17"/>
  <c r="B47" i="17"/>
  <c r="D45" i="17"/>
  <c r="M22" i="10"/>
  <c r="M21" i="10"/>
  <c r="M20" i="10"/>
  <c r="AM40" i="17" l="1"/>
  <c r="AN40" i="17" s="1"/>
  <c r="AO40" i="17" s="1"/>
  <c r="AP40" i="17" s="1"/>
  <c r="AQ40" i="17" s="1"/>
  <c r="AM43" i="17" s="1"/>
  <c r="D29" i="17"/>
  <c r="B31" i="17"/>
  <c r="B48" i="10"/>
  <c r="E40" i="17" l="1"/>
  <c r="B41" i="17" s="1"/>
  <c r="AN10" i="10"/>
  <c r="CO14" i="10"/>
  <c r="CO12" i="10" s="1"/>
  <c r="CM14" i="10"/>
  <c r="CM12" i="10" s="1"/>
  <c r="BN14" i="10"/>
  <c r="BN12" i="10" s="1"/>
  <c r="BU14" i="10"/>
  <c r="BU12" i="10" s="1"/>
  <c r="CH14" i="10"/>
  <c r="CH12" i="10" s="1"/>
  <c r="BP14" i="10"/>
  <c r="BP12" i="10" s="1"/>
  <c r="BZ14" i="10"/>
  <c r="BZ12" i="10" s="1"/>
  <c r="CG14" i="10"/>
  <c r="CG12" i="10" s="1"/>
  <c r="CT14" i="10"/>
  <c r="CT12" i="10" s="1"/>
  <c r="CL14" i="10"/>
  <c r="CL12" i="10" s="1"/>
  <c r="BH14" i="10"/>
  <c r="BH12" i="10" s="1"/>
  <c r="CS14" i="10"/>
  <c r="CS12" i="10" s="1"/>
  <c r="CC14" i="10"/>
  <c r="CC12" i="10" s="1"/>
  <c r="CX14" i="10"/>
  <c r="CX12" i="10" s="1"/>
  <c r="BT14" i="10"/>
  <c r="BT12" i="10" s="1"/>
  <c r="BQ14" i="10"/>
  <c r="BQ12" i="10" s="1"/>
  <c r="CN14" i="10"/>
  <c r="CN12" i="10" s="1"/>
  <c r="BL14" i="10"/>
  <c r="BL12" i="10" s="1"/>
  <c r="CD14" i="10"/>
  <c r="CD12" i="10" s="1"/>
  <c r="CF14" i="10"/>
  <c r="CF12" i="10" s="1"/>
  <c r="BI14" i="10"/>
  <c r="BI12" i="10" s="1"/>
  <c r="BX14" i="10"/>
  <c r="BX12" i="10" s="1"/>
  <c r="BG14" i="10"/>
  <c r="BG12" i="10" s="1"/>
  <c r="CR14" i="10"/>
  <c r="CR12" i="10" s="1"/>
  <c r="CI14" i="10"/>
  <c r="CI12" i="10" s="1"/>
  <c r="CJ14" i="10"/>
  <c r="CJ12" i="10" s="1"/>
  <c r="BS14" i="10"/>
  <c r="BS12" i="10" s="1"/>
  <c r="BV14" i="10"/>
  <c r="BV12" i="10" s="1"/>
  <c r="CB14" i="10"/>
  <c r="CB12" i="10" s="1"/>
  <c r="CV14" i="10"/>
  <c r="CV12" i="10" s="1"/>
  <c r="CE14" i="10"/>
  <c r="CE12" i="10" s="1"/>
  <c r="BR14" i="10"/>
  <c r="BR12" i="10" s="1"/>
  <c r="CZ14" i="10"/>
  <c r="CZ12" i="10" s="1"/>
  <c r="CA14" i="10"/>
  <c r="CA12" i="10" s="1"/>
  <c r="CY14" i="10"/>
  <c r="CY12" i="10" s="1"/>
  <c r="BM14" i="10"/>
  <c r="BM12" i="10" s="1"/>
  <c r="CQ14" i="10"/>
  <c r="CQ12" i="10" s="1"/>
  <c r="BF14" i="10"/>
  <c r="BF12" i="10" s="1"/>
  <c r="BY14" i="10"/>
  <c r="BY12" i="10" s="1"/>
  <c r="CP14" i="10"/>
  <c r="CP12" i="10" s="1"/>
  <c r="BK14" i="10"/>
  <c r="BK12" i="10" s="1"/>
  <c r="CW14" i="10"/>
  <c r="CW12" i="10" s="1"/>
  <c r="CU14" i="10"/>
  <c r="CU12" i="10" s="1"/>
  <c r="BO14" i="10"/>
  <c r="BO12" i="10" s="1"/>
  <c r="CK14" i="10"/>
  <c r="CK12" i="10" s="1"/>
  <c r="BJ14" i="10"/>
  <c r="BJ12" i="10" s="1"/>
  <c r="BW14" i="10"/>
  <c r="BW12" i="10" s="1"/>
  <c r="E60" i="12"/>
  <c r="E58" i="12"/>
  <c r="E57" i="12"/>
  <c r="E59" i="12"/>
  <c r="D40" i="17" l="1"/>
  <c r="AE38" i="10" a="1"/>
  <c r="AE38" i="10" s="1"/>
  <c r="AB38" i="10" a="1"/>
  <c r="AB38" i="10" s="1"/>
  <c r="AO9" i="10" s="1"/>
  <c r="DE9" i="10" l="1"/>
  <c r="DA9" i="10"/>
  <c r="DB9" i="10"/>
  <c r="DC9" i="10"/>
  <c r="DD9" i="10"/>
  <c r="AO26" i="10"/>
  <c r="BD26" i="10" s="1"/>
  <c r="AO27" i="10"/>
  <c r="CX9" i="10" l="1"/>
  <c r="CB9" i="10"/>
  <c r="CY9" i="10"/>
  <c r="BU9" i="10"/>
  <c r="BY9" i="10"/>
  <c r="BH9" i="10"/>
  <c r="CG9" i="10"/>
  <c r="CT9" i="10"/>
  <c r="BL9" i="10"/>
  <c r="CK9" i="10"/>
  <c r="CO9" i="10"/>
  <c r="CA9" i="10"/>
  <c r="BR9" i="10"/>
  <c r="CI9" i="10"/>
  <c r="BX9" i="10"/>
  <c r="CJ9" i="10"/>
  <c r="CE9" i="10"/>
  <c r="CF9" i="10"/>
  <c r="BN9" i="10"/>
  <c r="CU9" i="10"/>
  <c r="BQ9" i="10"/>
  <c r="BG9" i="10"/>
  <c r="BP9" i="10"/>
  <c r="CH9" i="10"/>
  <c r="CC9" i="10"/>
  <c r="BF9" i="10"/>
  <c r="BT9" i="10"/>
  <c r="CS9" i="10"/>
  <c r="BK9" i="10"/>
  <c r="CW9" i="10"/>
  <c r="BO9" i="10"/>
  <c r="CN9" i="10"/>
  <c r="BS9" i="10"/>
  <c r="BW9" i="10"/>
  <c r="CZ9" i="10"/>
  <c r="BJ9" i="10"/>
  <c r="BZ9" i="10"/>
  <c r="BV9" i="10"/>
  <c r="CP9" i="10"/>
  <c r="CR9" i="10"/>
  <c r="BM9" i="10"/>
  <c r="CV9" i="10"/>
  <c r="CQ9" i="10"/>
  <c r="CD9" i="10"/>
  <c r="CM9" i="10"/>
  <c r="BI9" i="10"/>
  <c r="CL9" i="10"/>
  <c r="AN26" i="10"/>
  <c r="AO8" i="10"/>
  <c r="BD9" i="10"/>
  <c r="BC10" i="10" s="1"/>
  <c r="BC14" i="10" s="1"/>
  <c r="BD14" i="10" s="1"/>
  <c r="BC15" i="10" s="1"/>
  <c r="AN9" i="10"/>
  <c r="AX10" i="10" s="1"/>
  <c r="AO25" i="10"/>
  <c r="AN27" i="10"/>
  <c r="BC27" i="10"/>
  <c r="CH15" i="10"/>
  <c r="CX15" i="10"/>
  <c r="BX15" i="10"/>
  <c r="CA15" i="10"/>
  <c r="CT15" i="10"/>
  <c r="BF15" i="10"/>
  <c r="BU15" i="10"/>
  <c r="AO13" i="10"/>
  <c r="CZ15" i="10"/>
  <c r="BS15" i="10"/>
  <c r="CM15" i="10"/>
  <c r="CS15" i="10"/>
  <c r="BT15" i="10"/>
  <c r="CR15" i="10"/>
  <c r="CU15" i="10"/>
  <c r="BV15" i="10"/>
  <c r="BM15" i="10"/>
  <c r="CI15" i="10"/>
  <c r="CP15" i="10"/>
  <c r="CG15" i="10"/>
  <c r="BY15" i="10"/>
  <c r="BR15" i="10"/>
  <c r="CV15" i="10"/>
  <c r="CK15" i="10"/>
  <c r="CE15" i="10"/>
  <c r="BI15" i="10"/>
  <c r="CO15" i="10"/>
  <c r="BW15" i="10"/>
  <c r="BL15" i="10"/>
  <c r="BO15" i="10"/>
  <c r="BN15" i="10"/>
  <c r="CL15" i="10"/>
  <c r="CW15" i="10"/>
  <c r="BG15" i="10"/>
  <c r="BZ15" i="10"/>
  <c r="BQ15" i="10"/>
  <c r="CY15" i="10"/>
  <c r="CN15" i="10"/>
  <c r="CF15" i="10"/>
  <c r="CJ15" i="10"/>
  <c r="BP15" i="10"/>
  <c r="BH15" i="10"/>
  <c r="CB15" i="10"/>
  <c r="CD15" i="10"/>
  <c r="BK15" i="10"/>
  <c r="BJ15" i="10"/>
  <c r="CQ15" i="10"/>
  <c r="CC15" i="10"/>
  <c r="AN15" i="10"/>
  <c r="AG14" i="1" l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3" i="1"/>
  <c r="C48" i="1" l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47" i="1"/>
  <c r="AB44" i="1"/>
  <c r="AB39" i="1"/>
  <c r="AB28" i="1"/>
  <c r="A22" i="1"/>
  <c r="AF14" i="1"/>
  <c r="AU13" i="1"/>
  <c r="A12" i="1"/>
  <c r="A13" i="1" s="1"/>
  <c r="AG10" i="1"/>
  <c r="A3" i="1"/>
  <c r="A4" i="1" s="1"/>
  <c r="A5" i="1" l="1"/>
  <c r="A7" i="1" s="1"/>
  <c r="AF10" i="1"/>
  <c r="A6" i="1"/>
  <c r="A14" i="1"/>
  <c r="A16" i="1" s="1"/>
  <c r="A15" i="1"/>
  <c r="A23" i="1"/>
  <c r="L5" i="1" l="1"/>
  <c r="L7" i="1"/>
  <c r="L9" i="1"/>
  <c r="L11" i="1"/>
  <c r="L13" i="1"/>
  <c r="L15" i="1"/>
  <c r="L17" i="1"/>
  <c r="L19" i="1"/>
  <c r="L4" i="1"/>
  <c r="L6" i="1"/>
  <c r="L8" i="1"/>
  <c r="L10" i="1"/>
  <c r="L12" i="1"/>
  <c r="L14" i="1"/>
  <c r="L16" i="1"/>
  <c r="L18" i="1"/>
  <c r="L20" i="1"/>
  <c r="L24" i="1"/>
  <c r="L28" i="1"/>
  <c r="L32" i="1"/>
  <c r="L36" i="1"/>
  <c r="L40" i="1"/>
  <c r="L44" i="1"/>
  <c r="L22" i="1"/>
  <c r="L42" i="1"/>
  <c r="L23" i="1"/>
  <c r="L31" i="1"/>
  <c r="L39" i="1"/>
  <c r="L21" i="1"/>
  <c r="L25" i="1"/>
  <c r="L29" i="1"/>
  <c r="L33" i="1"/>
  <c r="L37" i="1"/>
  <c r="L41" i="1"/>
  <c r="L26" i="1"/>
  <c r="L30" i="1"/>
  <c r="L34" i="1"/>
  <c r="L38" i="1"/>
  <c r="L27" i="1"/>
  <c r="L35" i="1"/>
  <c r="L43" i="1"/>
  <c r="G5" i="1"/>
  <c r="T5" i="1" s="1"/>
  <c r="G8" i="1"/>
  <c r="T8" i="1" s="1"/>
  <c r="G10" i="1"/>
  <c r="T10" i="1" s="1"/>
  <c r="G13" i="1"/>
  <c r="T13" i="1" s="1"/>
  <c r="G16" i="1"/>
  <c r="T16" i="1" s="1"/>
  <c r="G18" i="1"/>
  <c r="T18" i="1" s="1"/>
  <c r="G21" i="1"/>
  <c r="T21" i="1" s="1"/>
  <c r="G24" i="1"/>
  <c r="T24" i="1" s="1"/>
  <c r="G26" i="1"/>
  <c r="G29" i="1"/>
  <c r="T29" i="1" s="1"/>
  <c r="G32" i="1"/>
  <c r="T32" i="1" s="1"/>
  <c r="G34" i="1"/>
  <c r="T34" i="1" s="1"/>
  <c r="G37" i="1"/>
  <c r="T37" i="1" s="1"/>
  <c r="G40" i="1"/>
  <c r="T40" i="1" s="1"/>
  <c r="G42" i="1"/>
  <c r="T42" i="1" s="1"/>
  <c r="G4" i="1"/>
  <c r="T4" i="1" s="1"/>
  <c r="G6" i="1"/>
  <c r="T6" i="1" s="1"/>
  <c r="G9" i="1"/>
  <c r="T9" i="1" s="1"/>
  <c r="G12" i="1"/>
  <c r="T12" i="1" s="1"/>
  <c r="G14" i="1"/>
  <c r="T14" i="1" s="1"/>
  <c r="G17" i="1"/>
  <c r="T17" i="1" s="1"/>
  <c r="G20" i="1"/>
  <c r="T20" i="1" s="1"/>
  <c r="G22" i="1"/>
  <c r="T22" i="1" s="1"/>
  <c r="G25" i="1"/>
  <c r="T25" i="1" s="1"/>
  <c r="G28" i="1"/>
  <c r="T28" i="1" s="1"/>
  <c r="G30" i="1"/>
  <c r="T30" i="1" s="1"/>
  <c r="G33" i="1"/>
  <c r="T33" i="1" s="1"/>
  <c r="G36" i="1"/>
  <c r="T36" i="1" s="1"/>
  <c r="G38" i="1"/>
  <c r="T38" i="1" s="1"/>
  <c r="G41" i="1"/>
  <c r="T41" i="1" s="1"/>
  <c r="G44" i="1"/>
  <c r="T44" i="1" s="1"/>
  <c r="G43" i="1"/>
  <c r="T43" i="1" s="1"/>
  <c r="G27" i="1"/>
  <c r="T27" i="1" s="1"/>
  <c r="G11" i="1"/>
  <c r="T11" i="1" s="1"/>
  <c r="G19" i="1"/>
  <c r="T19" i="1" s="1"/>
  <c r="G15" i="1"/>
  <c r="T15" i="1" s="1"/>
  <c r="G39" i="1"/>
  <c r="T39" i="1" s="1"/>
  <c r="G23" i="1"/>
  <c r="T23" i="1" s="1"/>
  <c r="G7" i="1"/>
  <c r="T7" i="1" s="1"/>
  <c r="G35" i="1"/>
  <c r="T35" i="1" s="1"/>
  <c r="G31" i="1"/>
  <c r="T31" i="1" s="1"/>
  <c r="K5" i="1"/>
  <c r="K7" i="1"/>
  <c r="K9" i="1"/>
  <c r="K11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" i="1"/>
  <c r="K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H5" i="1"/>
  <c r="S5" i="1" s="1"/>
  <c r="H10" i="1"/>
  <c r="S10" i="1" s="1"/>
  <c r="H16" i="1"/>
  <c r="S16" i="1" s="1"/>
  <c r="H21" i="1"/>
  <c r="S21" i="1" s="1"/>
  <c r="H26" i="1"/>
  <c r="S26" i="1" s="1"/>
  <c r="H32" i="1"/>
  <c r="S32" i="1" s="1"/>
  <c r="H37" i="1"/>
  <c r="S37" i="1" s="1"/>
  <c r="H42" i="1"/>
  <c r="S42" i="1" s="1"/>
  <c r="H18" i="1"/>
  <c r="S18" i="1" s="1"/>
  <c r="H29" i="1"/>
  <c r="S29" i="1" s="1"/>
  <c r="H40" i="1"/>
  <c r="S40" i="1" s="1"/>
  <c r="H4" i="1"/>
  <c r="S4" i="1" s="1"/>
  <c r="H14" i="1"/>
  <c r="S14" i="1" s="1"/>
  <c r="H25" i="1"/>
  <c r="S25" i="1" s="1"/>
  <c r="H36" i="1"/>
  <c r="S36" i="1" s="1"/>
  <c r="H6" i="1"/>
  <c r="S6" i="1" s="1"/>
  <c r="H12" i="1"/>
  <c r="S12" i="1" s="1"/>
  <c r="H17" i="1"/>
  <c r="S17" i="1" s="1"/>
  <c r="H22" i="1"/>
  <c r="S22" i="1" s="1"/>
  <c r="H28" i="1"/>
  <c r="S28" i="1" s="1"/>
  <c r="H33" i="1"/>
  <c r="S33" i="1" s="1"/>
  <c r="H38" i="1"/>
  <c r="S38" i="1" s="1"/>
  <c r="H44" i="1"/>
  <c r="S44" i="1" s="1"/>
  <c r="H8" i="1"/>
  <c r="S8" i="1" s="1"/>
  <c r="H13" i="1"/>
  <c r="S13" i="1" s="1"/>
  <c r="H24" i="1"/>
  <c r="S24" i="1" s="1"/>
  <c r="H34" i="1"/>
  <c r="S34" i="1" s="1"/>
  <c r="H9" i="1"/>
  <c r="S9" i="1" s="1"/>
  <c r="H20" i="1"/>
  <c r="S20" i="1" s="1"/>
  <c r="H30" i="1"/>
  <c r="S30" i="1" s="1"/>
  <c r="H41" i="1"/>
  <c r="S41" i="1" s="1"/>
  <c r="H35" i="1"/>
  <c r="S35" i="1" s="1"/>
  <c r="H19" i="1"/>
  <c r="S19" i="1" s="1"/>
  <c r="H31" i="1"/>
  <c r="S31" i="1" s="1"/>
  <c r="H15" i="1"/>
  <c r="S15" i="1" s="1"/>
  <c r="H43" i="1"/>
  <c r="S43" i="1" s="1"/>
  <c r="H27" i="1"/>
  <c r="S27" i="1" s="1"/>
  <c r="H11" i="1"/>
  <c r="S11" i="1" s="1"/>
  <c r="H39" i="1"/>
  <c r="S39" i="1" s="1"/>
  <c r="H23" i="1"/>
  <c r="S23" i="1" s="1"/>
  <c r="H7" i="1"/>
  <c r="S7" i="1" s="1"/>
  <c r="B16" i="1"/>
  <c r="L3" i="1"/>
  <c r="B7" i="1"/>
  <c r="H3" i="1"/>
  <c r="T26" i="1"/>
  <c r="B6" i="1"/>
  <c r="G3" i="1"/>
  <c r="T3" i="1" s="1"/>
  <c r="A24" i="1"/>
  <c r="A26" i="1" s="1"/>
  <c r="B15" i="1"/>
  <c r="K3" i="1"/>
  <c r="P4" i="1" l="1"/>
  <c r="P6" i="1"/>
  <c r="P8" i="1"/>
  <c r="P10" i="1"/>
  <c r="P12" i="1"/>
  <c r="P14" i="1"/>
  <c r="P16" i="1"/>
  <c r="P18" i="1"/>
  <c r="P20" i="1"/>
  <c r="P22" i="1"/>
  <c r="P24" i="1"/>
  <c r="P26" i="1"/>
  <c r="P28" i="1"/>
  <c r="P30" i="1"/>
  <c r="P32" i="1"/>
  <c r="P34" i="1"/>
  <c r="P36" i="1"/>
  <c r="P38" i="1"/>
  <c r="P40" i="1"/>
  <c r="P42" i="1"/>
  <c r="P44" i="1"/>
  <c r="P5" i="1"/>
  <c r="P7" i="1"/>
  <c r="P9" i="1"/>
  <c r="P11" i="1"/>
  <c r="P13" i="1"/>
  <c r="P15" i="1"/>
  <c r="P17" i="1"/>
  <c r="P19" i="1"/>
  <c r="P21" i="1"/>
  <c r="P23" i="1"/>
  <c r="P25" i="1"/>
  <c r="P27" i="1"/>
  <c r="P29" i="1"/>
  <c r="P31" i="1"/>
  <c r="P33" i="1"/>
  <c r="P35" i="1"/>
  <c r="P37" i="1"/>
  <c r="P39" i="1"/>
  <c r="P41" i="1"/>
  <c r="P43" i="1"/>
  <c r="U46" i="1"/>
  <c r="D55" i="1"/>
  <c r="D71" i="1"/>
  <c r="D87" i="1"/>
  <c r="D59" i="1"/>
  <c r="D75" i="1"/>
  <c r="D63" i="1"/>
  <c r="D79" i="1"/>
  <c r="D67" i="1"/>
  <c r="D83" i="1"/>
  <c r="D51" i="1"/>
  <c r="D82" i="1"/>
  <c r="D74" i="1"/>
  <c r="D66" i="1"/>
  <c r="D58" i="1"/>
  <c r="D81" i="1"/>
  <c r="D61" i="1"/>
  <c r="D47" i="1"/>
  <c r="D88" i="1"/>
  <c r="D72" i="1"/>
  <c r="D56" i="1"/>
  <c r="D50" i="1"/>
  <c r="D77" i="1"/>
  <c r="D57" i="1"/>
  <c r="D84" i="1"/>
  <c r="D68" i="1"/>
  <c r="D52" i="1"/>
  <c r="D86" i="1"/>
  <c r="D78" i="1"/>
  <c r="D70" i="1"/>
  <c r="D62" i="1"/>
  <c r="D54" i="1"/>
  <c r="D73" i="1"/>
  <c r="D53" i="1"/>
  <c r="D80" i="1"/>
  <c r="D64" i="1"/>
  <c r="D48" i="1"/>
  <c r="D65" i="1"/>
  <c r="D85" i="1"/>
  <c r="D69" i="1"/>
  <c r="D49" i="1"/>
  <c r="D76" i="1"/>
  <c r="D60" i="1"/>
  <c r="S3" i="1"/>
  <c r="A48" i="1" s="1"/>
  <c r="E87" i="1"/>
  <c r="E83" i="1"/>
  <c r="E79" i="1"/>
  <c r="E75" i="1"/>
  <c r="E71" i="1"/>
  <c r="E67" i="1"/>
  <c r="E63" i="1"/>
  <c r="E59" i="1"/>
  <c r="E55" i="1"/>
  <c r="E51" i="1"/>
  <c r="E73" i="1"/>
  <c r="E57" i="1"/>
  <c r="E50" i="1"/>
  <c r="E84" i="1"/>
  <c r="E68" i="1"/>
  <c r="E52" i="1"/>
  <c r="E81" i="1"/>
  <c r="E86" i="1"/>
  <c r="E78" i="1"/>
  <c r="E70" i="1"/>
  <c r="E62" i="1"/>
  <c r="E54" i="1"/>
  <c r="E61" i="1"/>
  <c r="E80" i="1"/>
  <c r="E64" i="1"/>
  <c r="E48" i="1"/>
  <c r="E53" i="1"/>
  <c r="E47" i="1"/>
  <c r="E77" i="1"/>
  <c r="E76" i="1"/>
  <c r="E60" i="1"/>
  <c r="E49" i="1"/>
  <c r="E69" i="1"/>
  <c r="E82" i="1"/>
  <c r="E74" i="1"/>
  <c r="E66" i="1"/>
  <c r="E58" i="1"/>
  <c r="E88" i="1"/>
  <c r="E72" i="1"/>
  <c r="E56" i="1"/>
  <c r="E65" i="1"/>
  <c r="E85" i="1"/>
  <c r="B26" i="1"/>
  <c r="P3" i="1"/>
  <c r="U19" i="1"/>
  <c r="U5" i="1"/>
  <c r="U9" i="1"/>
  <c r="U23" i="1"/>
  <c r="U7" i="1"/>
  <c r="U25" i="1"/>
  <c r="U12" i="1"/>
  <c r="U26" i="1"/>
  <c r="U31" i="1"/>
  <c r="U35" i="1"/>
  <c r="U39" i="1"/>
  <c r="U6" i="1"/>
  <c r="U10" i="1"/>
  <c r="U20" i="1"/>
  <c r="U27" i="1"/>
  <c r="U8" i="1"/>
  <c r="U28" i="1"/>
  <c r="U15" i="1"/>
  <c r="U42" i="1"/>
  <c r="U32" i="1"/>
  <c r="U36" i="1"/>
  <c r="U4" i="1"/>
  <c r="U13" i="1"/>
  <c r="U16" i="1"/>
  <c r="U21" i="1"/>
  <c r="U43" i="1"/>
  <c r="U11" i="1"/>
  <c r="U40" i="1"/>
  <c r="U41" i="1"/>
  <c r="U29" i="1"/>
  <c r="U33" i="1"/>
  <c r="U37" i="1"/>
  <c r="A25" i="1"/>
  <c r="U17" i="1"/>
  <c r="U18" i="1"/>
  <c r="U22" i="1"/>
  <c r="U14" i="1"/>
  <c r="U44" i="1"/>
  <c r="U24" i="1"/>
  <c r="U30" i="1"/>
  <c r="U34" i="1"/>
  <c r="U38" i="1"/>
  <c r="U3" i="1" l="1"/>
  <c r="AC49" i="1" s="1"/>
  <c r="O4" i="1"/>
  <c r="O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0" i="1"/>
  <c r="O42" i="1"/>
  <c r="O44" i="1"/>
  <c r="O5" i="1"/>
  <c r="O7" i="1"/>
  <c r="O9" i="1"/>
  <c r="O11" i="1"/>
  <c r="O13" i="1"/>
  <c r="O15" i="1"/>
  <c r="O17" i="1"/>
  <c r="O19" i="1"/>
  <c r="O21" i="1"/>
  <c r="O23" i="1"/>
  <c r="O25" i="1"/>
  <c r="O27" i="1"/>
  <c r="O29" i="1"/>
  <c r="O31" i="1"/>
  <c r="O33" i="1"/>
  <c r="O35" i="1"/>
  <c r="O37" i="1"/>
  <c r="O39" i="1"/>
  <c r="O41" i="1"/>
  <c r="O43" i="1"/>
  <c r="AC58" i="1"/>
  <c r="B25" i="1"/>
  <c r="O3" i="1"/>
  <c r="AC12" i="1" l="1"/>
  <c r="AA13" i="1"/>
  <c r="AB13" i="1" s="1"/>
  <c r="AC26" i="1"/>
  <c r="AA20" i="1"/>
  <c r="AB20" i="1" s="1"/>
  <c r="AA22" i="1"/>
  <c r="AA4" i="1"/>
  <c r="AB4" i="1" s="1"/>
  <c r="AC22" i="1"/>
  <c r="AA24" i="1"/>
  <c r="AB24" i="1" s="1"/>
  <c r="AC43" i="1"/>
  <c r="AC24" i="1"/>
  <c r="AA29" i="1"/>
  <c r="AB29" i="1" s="1"/>
  <c r="AC29" i="1"/>
  <c r="AA30" i="1"/>
  <c r="AB30" i="1" s="1"/>
  <c r="AC21" i="1"/>
  <c r="AC20" i="1"/>
  <c r="AA26" i="1"/>
  <c r="AB26" i="1" s="1"/>
  <c r="AA31" i="1"/>
  <c r="AB31" i="1" s="1"/>
  <c r="AC38" i="1"/>
  <c r="AA42" i="1"/>
  <c r="AB42" i="1" s="1"/>
  <c r="AA9" i="1"/>
  <c r="AB9" i="1" s="1"/>
  <c r="AC9" i="1"/>
  <c r="AA35" i="1"/>
  <c r="AB35" i="1" s="1"/>
  <c r="AA34" i="1"/>
  <c r="AB34" i="1" s="1"/>
  <c r="AA12" i="1"/>
  <c r="AB12" i="1" s="1"/>
  <c r="AC7" i="1"/>
  <c r="AA36" i="1"/>
  <c r="AB36" i="1" s="1"/>
  <c r="AA43" i="1"/>
  <c r="AB43" i="1" s="1"/>
  <c r="AA33" i="1"/>
  <c r="AB33" i="1" s="1"/>
  <c r="AC45" i="1"/>
  <c r="AA32" i="1"/>
  <c r="AB32" i="1" s="1"/>
  <c r="AC8" i="1"/>
  <c r="AC11" i="1"/>
  <c r="AA47" i="1"/>
  <c r="AA41" i="1"/>
  <c r="AB41" i="1" s="1"/>
  <c r="AC16" i="1"/>
  <c r="AC42" i="1"/>
  <c r="AC18" i="1"/>
  <c r="AA11" i="1"/>
  <c r="AB11" i="1" s="1"/>
  <c r="AC3" i="1"/>
  <c r="AC14" i="1"/>
  <c r="AA14" i="1"/>
  <c r="AB14" i="1" s="1"/>
  <c r="AA58" i="1"/>
  <c r="AC15" i="1"/>
  <c r="AA6" i="1"/>
  <c r="AB6" i="1" s="1"/>
  <c r="AC47" i="1"/>
  <c r="AA15" i="1"/>
  <c r="AB15" i="1" s="1"/>
  <c r="AA49" i="1"/>
  <c r="AC34" i="1"/>
  <c r="AC48" i="1"/>
  <c r="AA45" i="1"/>
  <c r="AC5" i="1"/>
  <c r="AA52" i="1"/>
  <c r="AA17" i="1"/>
  <c r="AB17" i="1" s="1"/>
  <c r="AA53" i="1"/>
  <c r="AC35" i="1"/>
  <c r="AC50" i="1"/>
  <c r="AA16" i="1"/>
  <c r="AB16" i="1" s="1"/>
  <c r="AA3" i="1"/>
  <c r="AB3" i="1" s="1"/>
  <c r="AC6" i="1"/>
  <c r="AA54" i="1"/>
  <c r="AA18" i="1"/>
  <c r="AB18" i="1" s="1"/>
  <c r="AA55" i="1"/>
  <c r="AC36" i="1"/>
  <c r="AC52" i="1"/>
  <c r="AA38" i="1"/>
  <c r="AB38" i="1" s="1"/>
  <c r="AC30" i="1"/>
  <c r="AA50" i="1"/>
  <c r="AC4" i="1"/>
  <c r="AC19" i="1"/>
  <c r="AA56" i="1"/>
  <c r="AA19" i="1"/>
  <c r="AB19" i="1" s="1"/>
  <c r="AA8" i="1"/>
  <c r="AB8" i="1" s="1"/>
  <c r="AC37" i="1"/>
  <c r="AC54" i="1"/>
  <c r="AC51" i="1"/>
  <c r="AC53" i="1"/>
  <c r="AA27" i="1"/>
  <c r="AB27" i="1" s="1"/>
  <c r="AA57" i="1"/>
  <c r="AC31" i="1"/>
  <c r="AA46" i="1"/>
  <c r="AC55" i="1"/>
  <c r="AC10" i="1"/>
  <c r="U47" i="1"/>
  <c r="S48" i="1" s="1"/>
  <c r="AA25" i="1"/>
  <c r="AB25" i="1" s="1"/>
  <c r="AC32" i="1"/>
  <c r="AC23" i="1"/>
  <c r="AC56" i="1"/>
  <c r="AC40" i="1"/>
  <c r="AA23" i="1"/>
  <c r="AB23" i="1" s="1"/>
  <c r="AA10" i="1"/>
  <c r="AB10" i="1" s="1"/>
  <c r="AA37" i="1"/>
  <c r="AB37" i="1" s="1"/>
  <c r="AA5" i="1"/>
  <c r="AB5" i="1" s="1"/>
  <c r="AC13" i="1"/>
  <c r="AC17" i="1"/>
  <c r="AA48" i="1"/>
  <c r="AC41" i="1"/>
  <c r="AC27" i="1"/>
  <c r="AA7" i="1"/>
  <c r="AB7" i="1" s="1"/>
  <c r="AC33" i="1"/>
  <c r="AC46" i="1"/>
  <c r="AC57" i="1"/>
  <c r="AA21" i="1"/>
  <c r="AA51" i="1"/>
  <c r="AC25" i="1"/>
  <c r="AA40" i="1"/>
  <c r="AB40" i="1" s="1"/>
  <c r="AG13" i="1" l="1"/>
  <c r="AG12" i="1" s="1"/>
  <c r="AG5" i="1"/>
  <c r="AF5" i="1" s="1"/>
  <c r="AG4" i="1"/>
  <c r="AV4" i="1" s="1"/>
  <c r="AU5" i="1" s="1"/>
  <c r="AU9" i="1" s="1"/>
  <c r="AG9" i="1"/>
  <c r="AF9" i="1" s="1"/>
  <c r="AF13" i="1"/>
  <c r="AV13" i="1"/>
  <c r="AU14" i="1" s="1"/>
  <c r="AG3" i="1" l="1"/>
  <c r="AF4" i="1"/>
  <c r="AP5" i="1" s="1"/>
  <c r="AG8" i="1"/>
  <c r="AV9" i="1"/>
  <c r="AU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<sst xmlns="http://schemas.openxmlformats.org/spreadsheetml/2006/main" count="2100" uniqueCount="1533">
  <si>
    <t>Speller:</t>
    <phoneticPr fontId="4" type="noConversion"/>
  </si>
  <si>
    <t>Speller</t>
    <phoneticPr fontId="4" type="noConversion"/>
  </si>
  <si>
    <t>preedit_format:</t>
    <phoneticPr fontId="4" type="noConversion"/>
  </si>
  <si>
    <t>comment_format</t>
    <phoneticPr fontId="4" type="noConversion"/>
  </si>
  <si>
    <t>對映總表</t>
    <phoneticPr fontId="4" type="noConversion"/>
  </si>
  <si>
    <t>聲母與韻母表</t>
    <phoneticPr fontId="9" type="noConversion"/>
  </si>
  <si>
    <t>- xlit|pPmbtTndkKhjJSgqzcCsiuBaoøMIeUYLDQGN123570|1qaz2wsxedcrfvtgbyhnujm8ik,9ol.0p;/- 43657|</t>
  </si>
  <si>
    <t>字典編碼</t>
  </si>
  <si>
    <t>鍵盤按鍵</t>
    <phoneticPr fontId="4" type="noConversion"/>
  </si>
  <si>
    <t>方音符號</t>
  </si>
  <si>
    <t>方音符號</t>
    <phoneticPr fontId="4" type="noConversion"/>
  </si>
  <si>
    <t>鍵盤按鍵</t>
  </si>
  <si>
    <t>字典編碼</t>
    <phoneticPr fontId="16" type="noConversion"/>
  </si>
  <si>
    <t>方音符號</t>
    <phoneticPr fontId="16" type="noConversion"/>
  </si>
  <si>
    <t>序號</t>
  </si>
  <si>
    <t>注音符號</t>
  </si>
  <si>
    <t>拼音字母</t>
    <phoneticPr fontId="9" type="noConversion"/>
  </si>
  <si>
    <t>字典編碼</t>
    <phoneticPr fontId="9" type="noConversion"/>
  </si>
  <si>
    <t>變更編碼</t>
    <phoneticPr fontId="9" type="noConversion"/>
  </si>
  <si>
    <t>鍵盤按鍵</t>
    <phoneticPr fontId="9" type="noConversion"/>
  </si>
  <si>
    <t>ㄅ</t>
  </si>
  <si>
    <t>p</t>
    <phoneticPr fontId="9" type="noConversion"/>
  </si>
  <si>
    <t>speller</t>
    <phoneticPr fontId="9" type="noConversion"/>
  </si>
  <si>
    <t>ㄆ</t>
  </si>
  <si>
    <t>ph</t>
    <phoneticPr fontId="9" type="noConversion"/>
  </si>
  <si>
    <t>找字母：</t>
    <phoneticPr fontId="9" type="noConversion"/>
  </si>
  <si>
    <t>N</t>
    <phoneticPr fontId="9" type="noConversion"/>
  </si>
  <si>
    <t>ㆠ</t>
  </si>
  <si>
    <t>b</t>
    <phoneticPr fontId="9" type="noConversion"/>
  </si>
  <si>
    <t>ㄉ</t>
  </si>
  <si>
    <t>t</t>
  </si>
  <si>
    <t>ㄊ</t>
  </si>
  <si>
    <t>th</t>
  </si>
  <si>
    <t>ㄋ</t>
  </si>
  <si>
    <t>n</t>
  </si>
  <si>
    <t>preedit</t>
    <phoneticPr fontId="9" type="noConversion"/>
  </si>
  <si>
    <t>ㄍ</t>
  </si>
  <si>
    <t>k</t>
  </si>
  <si>
    <t>ㄎ</t>
  </si>
  <si>
    <t>kh</t>
    <phoneticPr fontId="9" type="noConversion"/>
  </si>
  <si>
    <t>- xlit|1qaz2wsxedcrfvtgbyhnujm8ik,9ol.0p;/-43657|ㄅㄆㄇㆠㄉㄊㄋㄌㄍㄎㄏㄐㄑㄒㆣㄫㆡㄗㄘㄙㄧㄨㆬㄚㆦㄜㆰㄞㆤㄠㆲㄢㄣㄤㆭｎˋ˪ˊ˫．|</t>
  </si>
  <si>
    <t>ㆣ</t>
  </si>
  <si>
    <t>g</t>
    <phoneticPr fontId="9" type="noConversion"/>
  </si>
  <si>
    <t>ㄗ</t>
  </si>
  <si>
    <t>ts</t>
  </si>
  <si>
    <t>comment</t>
    <phoneticPr fontId="9" type="noConversion"/>
  </si>
  <si>
    <t>ㄘ</t>
  </si>
  <si>
    <t>tsh</t>
    <phoneticPr fontId="9" type="noConversion"/>
  </si>
  <si>
    <t>ㆡ</t>
  </si>
  <si>
    <t>j</t>
    <phoneticPr fontId="9" type="noConversion"/>
  </si>
  <si>
    <t>ㄙ</t>
  </si>
  <si>
    <t>s</t>
    <phoneticPr fontId="9" type="noConversion"/>
  </si>
  <si>
    <t>ㄏ</t>
  </si>
  <si>
    <t>h</t>
    <phoneticPr fontId="9" type="noConversion"/>
  </si>
  <si>
    <t>ㄧ</t>
  </si>
  <si>
    <t>i</t>
    <phoneticPr fontId="9" type="noConversion"/>
  </si>
  <si>
    <t>ㄨ</t>
  </si>
  <si>
    <t>u</t>
    <phoneticPr fontId="9" type="noConversion"/>
  </si>
  <si>
    <t>ㄚ</t>
  </si>
  <si>
    <t>a</t>
    <phoneticPr fontId="9" type="noConversion"/>
  </si>
  <si>
    <t>comment_format:</t>
    <phoneticPr fontId="4" type="noConversion"/>
  </si>
  <si>
    <t>ㆤ</t>
  </si>
  <si>
    <t>e</t>
    <phoneticPr fontId="9" type="noConversion"/>
  </si>
  <si>
    <t>- xlit|pPbtTdkKgcCzshiuaoøeIUBDGN|ㄅㄆㆠㄉㄊㄌㄍㄎㆣㄗㄘㆡㄙㄏㄧㄨㄚㆦㄜㆤㄞㄠㆬㄣㆭｎ|</t>
  </si>
  <si>
    <t>ㄜ</t>
    <phoneticPr fontId="9" type="noConversion"/>
  </si>
  <si>
    <t>o</t>
  </si>
  <si>
    <t>o</t>
    <phoneticPr fontId="9" type="noConversion"/>
  </si>
  <si>
    <t>ㆦ</t>
  </si>
  <si>
    <t>oo</t>
    <phoneticPr fontId="9" type="noConversion"/>
  </si>
  <si>
    <t>O</t>
    <phoneticPr fontId="9" type="noConversion"/>
  </si>
  <si>
    <t>ㄞ</t>
    <phoneticPr fontId="9" type="noConversion"/>
  </si>
  <si>
    <t>ai</t>
    <phoneticPr fontId="9" type="noConversion"/>
  </si>
  <si>
    <t>ㄠ</t>
  </si>
  <si>
    <t>au</t>
    <phoneticPr fontId="9" type="noConversion"/>
  </si>
  <si>
    <t>ㆭ</t>
  </si>
  <si>
    <t>-ng</t>
    <phoneticPr fontId="9" type="noConversion"/>
  </si>
  <si>
    <t>ㄣ</t>
  </si>
  <si>
    <t>-n</t>
    <phoneticPr fontId="9" type="noConversion"/>
  </si>
  <si>
    <t>ㆬ</t>
    <phoneticPr fontId="9" type="noConversion"/>
  </si>
  <si>
    <t>-m</t>
    <phoneticPr fontId="9" type="noConversion"/>
  </si>
  <si>
    <t>鼻</t>
    <phoneticPr fontId="9" type="noConversion"/>
  </si>
  <si>
    <t>（無）</t>
    <phoneticPr fontId="9" type="noConversion"/>
  </si>
  <si>
    <t>-</t>
    <phoneticPr fontId="9" type="noConversion"/>
  </si>
  <si>
    <t>ㄇ</t>
  </si>
  <si>
    <t>m</t>
    <phoneticPr fontId="9" type="noConversion"/>
  </si>
  <si>
    <t>ㄌ</t>
  </si>
  <si>
    <t>l</t>
  </si>
  <si>
    <t>ㄫ</t>
  </si>
  <si>
    <t>ng</t>
    <phoneticPr fontId="9" type="noConversion"/>
  </si>
  <si>
    <t>ㄐ</t>
  </si>
  <si>
    <t>tsi</t>
    <phoneticPr fontId="9" type="noConversion"/>
  </si>
  <si>
    <t>ㄑ</t>
  </si>
  <si>
    <t>tshi</t>
    <phoneticPr fontId="9" type="noConversion"/>
  </si>
  <si>
    <t>ㄒ</t>
    <phoneticPr fontId="9" type="noConversion"/>
  </si>
  <si>
    <t>si</t>
    <phoneticPr fontId="9" type="noConversion"/>
  </si>
  <si>
    <t>ㄤ</t>
  </si>
  <si>
    <t>ang</t>
    <phoneticPr fontId="9" type="noConversion"/>
  </si>
  <si>
    <t>ㄢ</t>
  </si>
  <si>
    <t>an</t>
    <phoneticPr fontId="9" type="noConversion"/>
  </si>
  <si>
    <t>ㆰ</t>
  </si>
  <si>
    <t>am</t>
    <phoneticPr fontId="9" type="noConversion"/>
  </si>
  <si>
    <t>ㆲ</t>
  </si>
  <si>
    <t>ong</t>
    <phoneticPr fontId="9" type="noConversion"/>
  </si>
  <si>
    <t>（声調一）</t>
    <phoneticPr fontId="9" type="noConversion"/>
  </si>
  <si>
    <t>ˋ</t>
  </si>
  <si>
    <t>˪</t>
  </si>
  <si>
    <t>ˊ</t>
  </si>
  <si>
    <t>˫</t>
  </si>
  <si>
    <t>˙</t>
  </si>
  <si>
    <t>ㆢ</t>
  </si>
  <si>
    <t>ji</t>
    <phoneticPr fontId="9" type="noConversion"/>
  </si>
  <si>
    <t>ㆪ</t>
  </si>
  <si>
    <t>inn</t>
    <phoneticPr fontId="9" type="noConversion"/>
  </si>
  <si>
    <t>ㆫ</t>
  </si>
  <si>
    <t>unn</t>
    <phoneticPr fontId="9" type="noConversion"/>
  </si>
  <si>
    <t>ㆩ</t>
  </si>
  <si>
    <t>ann</t>
    <phoneticPr fontId="9" type="noConversion"/>
  </si>
  <si>
    <t>ㆮ</t>
  </si>
  <si>
    <t>ainn</t>
    <phoneticPr fontId="9" type="noConversion"/>
  </si>
  <si>
    <t>ㆥ</t>
  </si>
  <si>
    <t>enn</t>
    <phoneticPr fontId="9" type="noConversion"/>
  </si>
  <si>
    <t>ㆧ</t>
  </si>
  <si>
    <t>onn</t>
    <phoneticPr fontId="9" type="noConversion"/>
  </si>
  <si>
    <t>ㆯ</t>
  </si>
  <si>
    <t>aunn</t>
    <phoneticPr fontId="9" type="noConversion"/>
  </si>
  <si>
    <t>ㆱ</t>
  </si>
  <si>
    <t>om</t>
    <phoneticPr fontId="9" type="noConversion"/>
  </si>
  <si>
    <t>ㄥ</t>
  </si>
  <si>
    <t>ㆴ</t>
  </si>
  <si>
    <t>-p4</t>
    <phoneticPr fontId="9" type="noConversion"/>
  </si>
  <si>
    <t>ㆵ</t>
  </si>
  <si>
    <t>-t4</t>
    <phoneticPr fontId="9" type="noConversion"/>
  </si>
  <si>
    <t>ㆻ</t>
  </si>
  <si>
    <t>-k4</t>
    <phoneticPr fontId="9" type="noConversion"/>
  </si>
  <si>
    <t>ㆷ</t>
  </si>
  <si>
    <t>-h4</t>
    <phoneticPr fontId="9" type="noConversion"/>
  </si>
  <si>
    <t>1qaz2wsxedcrfvtgbyhnujm8ik,9ol.0p;/- 43657</t>
  </si>
  <si>
    <t>1qaz2wsxedcrfvtgbyhnujm8ik,9ol.0p;/-7</t>
  </si>
  <si>
    <t xml:space="preserve">alphabet: </t>
    <phoneticPr fontId="3" type="noConversion"/>
  </si>
  <si>
    <t xml:space="preserve">initials: </t>
    <phoneticPr fontId="3" type="noConversion"/>
  </si>
  <si>
    <t>G</t>
  </si>
  <si>
    <t>ㆭ</t>
    <phoneticPr fontId="9" type="noConversion"/>
  </si>
  <si>
    <t>m</t>
  </si>
  <si>
    <t>B</t>
  </si>
  <si>
    <t>ㆬ</t>
  </si>
  <si>
    <t>ㄨㄤ</t>
  </si>
  <si>
    <t>ㄧㆲ</t>
  </si>
  <si>
    <t>ㄧㄥ</t>
  </si>
  <si>
    <t>ㄧㄤ</t>
  </si>
  <si>
    <t>ong</t>
  </si>
  <si>
    <t>ang</t>
  </si>
  <si>
    <t>7</t>
  </si>
  <si>
    <t>uan</t>
  </si>
  <si>
    <t>ㄨㄢ</t>
  </si>
  <si>
    <t>5</t>
  </si>
  <si>
    <t>ㄧㄢ</t>
  </si>
  <si>
    <t>6</t>
  </si>
  <si>
    <t>an</t>
  </si>
  <si>
    <t>z</t>
  </si>
  <si>
    <t>un</t>
  </si>
  <si>
    <t>ㄨㄣ</t>
  </si>
  <si>
    <t>g</t>
  </si>
  <si>
    <t>in</t>
  </si>
  <si>
    <t>ㄧㄣ</t>
  </si>
  <si>
    <t>D</t>
  </si>
  <si>
    <t>b</t>
  </si>
  <si>
    <t>3</t>
  </si>
  <si>
    <t>4</t>
  </si>
  <si>
    <t xml:space="preserve"> </t>
  </si>
  <si>
    <t>G</t>
    <phoneticPr fontId="9" type="noConversion"/>
  </si>
  <si>
    <t>u</t>
  </si>
  <si>
    <t>-</t>
  </si>
  <si>
    <t>/</t>
  </si>
  <si>
    <t>om</t>
  </si>
  <si>
    <t>:</t>
  </si>
  <si>
    <t>am</t>
  </si>
  <si>
    <t>;</t>
  </si>
  <si>
    <t>im</t>
  </si>
  <si>
    <t>p</t>
  </si>
  <si>
    <t>B</t>
    <phoneticPr fontId="9" type="noConversion"/>
  </si>
  <si>
    <t>0</t>
  </si>
  <si>
    <t>&lt;</t>
  </si>
  <si>
    <t>,</t>
  </si>
  <si>
    <t>ㄨㆮㆷ</t>
  </si>
  <si>
    <t>ㄨㆮ</t>
  </si>
  <si>
    <t>U</t>
    <phoneticPr fontId="9" type="noConversion"/>
  </si>
  <si>
    <t>L</t>
  </si>
  <si>
    <t>ㄨㆩ</t>
  </si>
  <si>
    <t>(</t>
  </si>
  <si>
    <t>ㄞ</t>
  </si>
  <si>
    <t>ㄨㆪ</t>
  </si>
  <si>
    <t>ㄧㆯ</t>
  </si>
  <si>
    <t>J</t>
  </si>
  <si>
    <t>ㄧㆧ</t>
  </si>
  <si>
    <t>j</t>
  </si>
  <si>
    <t>ㄧㆩㆷ</t>
  </si>
  <si>
    <t>ㄧㆩ</t>
  </si>
  <si>
    <t>U</t>
  </si>
  <si>
    <t>ㄧㆫ</t>
  </si>
  <si>
    <t>9</t>
  </si>
  <si>
    <t>aunn</t>
  </si>
  <si>
    <t>O</t>
  </si>
  <si>
    <t>ainn</t>
  </si>
  <si>
    <t>enn</t>
  </si>
  <si>
    <t>onn</t>
  </si>
  <si>
    <t>I</t>
  </si>
  <si>
    <t>ann</t>
  </si>
  <si>
    <t>i</t>
  </si>
  <si>
    <t>*</t>
  </si>
  <si>
    <t>ㄒ</t>
  </si>
  <si>
    <t>C</t>
    <phoneticPr fontId="9" type="noConversion"/>
  </si>
  <si>
    <t>uai</t>
  </si>
  <si>
    <t>ㄨㄞㆷ</t>
  </si>
  <si>
    <t>ㄨㄞ</t>
  </si>
  <si>
    <t>ue</t>
  </si>
  <si>
    <t>ua</t>
  </si>
  <si>
    <t>ㄨㄚㆷ</t>
  </si>
  <si>
    <t>ㄨㄚ</t>
  </si>
  <si>
    <t>ui</t>
  </si>
  <si>
    <t>ㄨㄧㆷ</t>
  </si>
  <si>
    <t>ㄨㄧ</t>
  </si>
  <si>
    <t>ㄧㄠㆷ</t>
  </si>
  <si>
    <t>ㄧㄠ</t>
  </si>
  <si>
    <t>c</t>
  </si>
  <si>
    <t>ㄧㄜㆷ</t>
  </si>
  <si>
    <t>ㄧㄜ</t>
  </si>
  <si>
    <t>d</t>
  </si>
  <si>
    <t>ㄧㄚㆷ</t>
  </si>
  <si>
    <t>ㄧㄚ</t>
  </si>
  <si>
    <t>iu</t>
  </si>
  <si>
    <t>ㄧㄨ</t>
  </si>
  <si>
    <t>E</t>
  </si>
  <si>
    <t>au</t>
  </si>
  <si>
    <t>ㄠㆷ</t>
  </si>
  <si>
    <t>e</t>
  </si>
  <si>
    <t>ai</t>
  </si>
  <si>
    <t>ㄞㆷ</t>
  </si>
  <si>
    <t>x</t>
  </si>
  <si>
    <t>ㆦㆷ</t>
  </si>
  <si>
    <t>s</t>
  </si>
  <si>
    <t>ㆤㆷ</t>
  </si>
  <si>
    <t>t</t>
    <phoneticPr fontId="9" type="noConversion"/>
  </si>
  <si>
    <t>w</t>
  </si>
  <si>
    <t>按鍵字元</t>
  </si>
  <si>
    <t>oo</t>
  </si>
  <si>
    <t>2</t>
  </si>
  <si>
    <t>ã</t>
    <phoneticPr fontId="9" type="noConversion"/>
  </si>
  <si>
    <t>a</t>
  </si>
  <si>
    <t>q</t>
  </si>
  <si>
    <t>1</t>
  </si>
  <si>
    <t>國際音標</t>
    <phoneticPr fontId="9" type="noConversion"/>
  </si>
  <si>
    <t xml:space="preserve"> </t>
    <phoneticPr fontId="9" type="noConversion"/>
  </si>
  <si>
    <t>7</t>
    <phoneticPr fontId="9" type="noConversion"/>
  </si>
  <si>
    <t>Z</t>
    <phoneticPr fontId="9" type="noConversion"/>
  </si>
  <si>
    <t>J</t>
    <phoneticPr fontId="9" type="noConversion"/>
  </si>
  <si>
    <t>S</t>
    <phoneticPr fontId="9" type="noConversion"/>
  </si>
  <si>
    <t>n</t>
    <phoneticPr fontId="9" type="noConversion"/>
  </si>
  <si>
    <t>Y</t>
    <phoneticPr fontId="9" type="noConversion"/>
  </si>
  <si>
    <t>H</t>
    <phoneticPr fontId="9" type="noConversion"/>
  </si>
  <si>
    <t>拼音字母</t>
    <phoneticPr fontId="16" type="noConversion"/>
  </si>
  <si>
    <t>注音符號</t>
    <phoneticPr fontId="9" type="noConversion"/>
  </si>
  <si>
    <t>方音符號</t>
    <phoneticPr fontId="9" type="noConversion"/>
  </si>
  <si>
    <t>音標編碼</t>
    <phoneticPr fontId="9" type="noConversion"/>
  </si>
  <si>
    <t>台語音標</t>
    <phoneticPr fontId="9" type="noConversion"/>
  </si>
  <si>
    <t>!</t>
    <phoneticPr fontId="9" type="noConversion"/>
  </si>
  <si>
    <t>ph</t>
  </si>
  <si>
    <t>!</t>
  </si>
  <si>
    <t>P</t>
  </si>
  <si>
    <t>A</t>
    <phoneticPr fontId="9" type="noConversion"/>
  </si>
  <si>
    <t>T</t>
  </si>
  <si>
    <t>kh</t>
  </si>
  <si>
    <t>E</t>
    <phoneticPr fontId="9" type="noConversion"/>
  </si>
  <si>
    <t>h</t>
  </si>
  <si>
    <t>K</t>
  </si>
  <si>
    <t>D</t>
    <phoneticPr fontId="9" type="noConversion"/>
  </si>
  <si>
    <t>ㄖ</t>
    <phoneticPr fontId="9" type="noConversion"/>
  </si>
  <si>
    <t>ㆡ</t>
    <phoneticPr fontId="9" type="noConversion"/>
  </si>
  <si>
    <t>V</t>
    <phoneticPr fontId="9" type="noConversion"/>
  </si>
  <si>
    <t>Y</t>
  </si>
  <si>
    <t>Z</t>
  </si>
  <si>
    <t>H</t>
  </si>
  <si>
    <t>C</t>
  </si>
  <si>
    <t>S</t>
  </si>
  <si>
    <t>si-</t>
  </si>
  <si>
    <t>ㄜ</t>
  </si>
  <si>
    <t>ㄝ</t>
    <phoneticPr fontId="9" type="noConversion"/>
  </si>
  <si>
    <t>M</t>
    <phoneticPr fontId="9" type="noConversion"/>
  </si>
  <si>
    <t>ㄛ</t>
  </si>
  <si>
    <t>-n</t>
  </si>
  <si>
    <t>-ng</t>
  </si>
  <si>
    <t>l</t>
    <phoneticPr fontId="9" type="noConversion"/>
  </si>
  <si>
    <t>L</t>
    <phoneticPr fontId="9" type="noConversion"/>
  </si>
  <si>
    <t>ㄚㄇ</t>
  </si>
  <si>
    <t>:</t>
    <phoneticPr fontId="9" type="noConversion"/>
  </si>
  <si>
    <t>inn</t>
  </si>
  <si>
    <t>unn</t>
  </si>
  <si>
    <t>ㄦ</t>
    <phoneticPr fontId="9" type="noConversion"/>
  </si>
  <si>
    <t>ir</t>
  </si>
  <si>
    <t>M</t>
  </si>
  <si>
    <t>'</t>
    <phoneticPr fontId="9" type="noConversion"/>
  </si>
  <si>
    <t>ˉ</t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</si>
  <si>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</si>
  <si>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</si>
  <si>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</si>
  <si>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</si>
  <si>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</si>
  <si>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</si>
  <si>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</si>
  <si>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</si>
  <si>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</si>
  <si>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</si>
  <si>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</si>
  <si>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對映總表</t>
  </si>
  <si>
    <t>b</t>
    <phoneticPr fontId="4" type="noConversion"/>
  </si>
  <si>
    <t>陰去</t>
  </si>
  <si>
    <t>上声</t>
  </si>
  <si>
    <t>陽去</t>
  </si>
  <si>
    <t>陽平</t>
  </si>
  <si>
    <t>入声</t>
  </si>
  <si>
    <t>Q</t>
  </si>
  <si>
    <t>W</t>
  </si>
  <si>
    <t>R</t>
  </si>
  <si>
    <t>[ {</t>
  </si>
  <si>
    <t>] }</t>
  </si>
  <si>
    <t>\ |</t>
  </si>
  <si>
    <t>F</t>
  </si>
  <si>
    <t>; :</t>
  </si>
  <si>
    <t>' "</t>
  </si>
  <si>
    <t>X</t>
  </si>
  <si>
    <t>V</t>
  </si>
  <si>
    <t>N</t>
  </si>
  <si>
    <t>, &lt;</t>
  </si>
  <si>
    <t>. &gt;</t>
  </si>
  <si>
    <t>/ ?</t>
  </si>
  <si>
    <r>
      <rPr>
        <sz val="28"/>
        <color theme="8"/>
        <rFont val="Microsoft JhengHei"/>
        <family val="2"/>
        <charset val="136"/>
      </rPr>
      <t>拚音碼與鍵盤對映 (</t>
    </r>
    <r>
      <rPr>
        <sz val="28"/>
        <color theme="8"/>
        <rFont val="Calibri"/>
        <family val="2"/>
      </rPr>
      <t>speller)</t>
    </r>
    <phoneticPr fontId="9" type="noConversion"/>
  </si>
  <si>
    <r>
      <t xml:space="preserve">    # </t>
    </r>
    <r>
      <rPr>
        <sz val="18"/>
        <color rgb="FF000000"/>
        <rFont val="SimSun"/>
        <charset val="134"/>
      </rPr>
      <t>設定「字典編碼」與「鍵盤位置」的對映關係：字典檔案中，漢字的</t>
    </r>
    <r>
      <rPr>
        <sz val="18"/>
        <color rgb="FF000000"/>
        <rFont val="BopomofoRuby1909-v1"/>
        <family val="3"/>
        <charset val="136"/>
      </rPr>
      <t xml:space="preserve"> '拼音字母' ，轉成 '字典編碼' </t>
    </r>
    <r>
      <rPr>
        <sz val="18"/>
        <color rgb="FF000000"/>
        <rFont val="SimSun"/>
        <charset val="134"/>
      </rPr>
      <t>，並與</t>
    </r>
    <r>
      <rPr>
        <sz val="18"/>
        <color rgb="FF000000"/>
        <rFont val="BopomofoRuby1909-v1"/>
        <family val="3"/>
        <charset val="136"/>
      </rPr>
      <t>‘鍵盤位置’建立對映關聯</t>
    </r>
    <phoneticPr fontId="9" type="noConversion"/>
  </si>
  <si>
    <t>按鍵字元</t>
    <phoneticPr fontId="9" type="noConversion"/>
  </si>
  <si>
    <r>
      <rPr>
        <sz val="28"/>
        <color theme="8"/>
        <rFont val="Microsoft JhengHei"/>
        <family val="2"/>
        <charset val="136"/>
      </rPr>
      <t>鍵盤與方音符號對映</t>
    </r>
    <r>
      <rPr>
        <sz val="28"/>
        <color theme="8"/>
        <rFont val="Noto Serif TC Bold"/>
        <family val="1"/>
        <charset val="136"/>
      </rPr>
      <t xml:space="preserve"> (</t>
    </r>
    <r>
      <rPr>
        <sz val="28"/>
        <color theme="8"/>
        <rFont val="Calibri"/>
        <family val="2"/>
      </rPr>
      <t>preedit_format)</t>
    </r>
    <phoneticPr fontId="9" type="noConversion"/>
  </si>
  <si>
    <r>
      <t xml:space="preserve">  # </t>
    </r>
    <r>
      <rPr>
        <sz val="18"/>
        <color rgb="FF000000"/>
        <rFont val="Microsoft JhengHei"/>
        <family val="2"/>
        <charset val="136"/>
      </rPr>
      <t>設定「鍵盤位置」與「注音符號」的對映關係：</t>
    </r>
    <r>
      <rPr>
        <sz val="18"/>
        <color rgb="FF000000"/>
        <rFont val="Arial"/>
        <family val="2"/>
      </rPr>
      <t xml:space="preserve">RIME </t>
    </r>
    <r>
      <rPr>
        <sz val="18"/>
        <color rgb="FF000000"/>
        <rFont val="Microsoft JhengHei"/>
        <family val="2"/>
        <charset val="136"/>
      </rPr>
      <t>輸入法平台於接收到「鍵盤按鍵」輸入，依此規範於螢幕顯示</t>
    </r>
    <r>
      <rPr>
        <sz val="18"/>
        <color rgb="FF000000"/>
        <rFont val="SimSun"/>
        <charset val="134"/>
      </rPr>
      <t>ㄅㄆㄇ注音符號</t>
    </r>
    <phoneticPr fontId="9" type="noConversion"/>
  </si>
  <si>
    <t>候選字清單漢字與注音符號的對映 (comment_format)</t>
    <phoneticPr fontId="9" type="noConversion"/>
  </si>
  <si>
    <t xml:space="preserve">  # 設定「候選字清單」中，字典漢字與方音符號的對映</t>
  </si>
  <si>
    <t>音標編碼</t>
    <phoneticPr fontId="4" type="noConversion"/>
  </si>
  <si>
    <t>注音編碼</t>
    <phoneticPr fontId="9" type="noConversion"/>
  </si>
  <si>
    <t>y</t>
  </si>
  <si>
    <t>8</t>
  </si>
  <si>
    <t>ㆨ</t>
  </si>
  <si>
    <t>ｎ</t>
  </si>
  <si>
    <t>.</t>
  </si>
  <si>
    <t>th</t>
    <phoneticPr fontId="9" type="noConversion"/>
  </si>
  <si>
    <t>ji-</t>
  </si>
  <si>
    <t>-m</t>
  </si>
  <si>
    <t>[48]</t>
  </si>
  <si>
    <t>A</t>
  </si>
  <si>
    <t>ng-</t>
  </si>
  <si>
    <t>@</t>
  </si>
  <si>
    <t>]</t>
  </si>
  <si>
    <t>}</t>
  </si>
  <si>
    <t>{</t>
  </si>
  <si>
    <t>-nn</t>
  </si>
  <si>
    <t>使用按鍵設定</t>
    <phoneticPr fontId="9" type="noConversion"/>
  </si>
  <si>
    <t>左邊界</t>
    <phoneticPr fontId="9" type="noConversion"/>
  </si>
  <si>
    <t>起始位置</t>
    <phoneticPr fontId="9" type="noConversion"/>
  </si>
  <si>
    <t>終止位置</t>
    <phoneticPr fontId="9" type="noConversion"/>
  </si>
  <si>
    <t>萃取字串</t>
    <phoneticPr fontId="9" type="noConversion"/>
  </si>
  <si>
    <t>字串長度</t>
    <phoneticPr fontId="9" type="noConversion"/>
  </si>
  <si>
    <t>注音符號</t>
    <phoneticPr fontId="4" type="noConversion"/>
  </si>
  <si>
    <t>注音符號</t>
    <phoneticPr fontId="16" type="noConversion"/>
  </si>
  <si>
    <t>注音編碼</t>
    <phoneticPr fontId="16" type="noConversion"/>
  </si>
  <si>
    <t>-p0</t>
    <phoneticPr fontId="9" type="noConversion"/>
  </si>
  <si>
    <t>-t0</t>
    <phoneticPr fontId="9" type="noConversion"/>
  </si>
  <si>
    <t>-k0</t>
    <phoneticPr fontId="9" type="noConversion"/>
  </si>
  <si>
    <t>-h0</t>
    <phoneticPr fontId="9" type="noConversion"/>
  </si>
  <si>
    <t xml:space="preserve"> </t>
    <phoneticPr fontId="9" type="noConversion"/>
  </si>
  <si>
    <t>zi-</t>
  </si>
  <si>
    <t>ci-</t>
  </si>
  <si>
    <t>speller</t>
    <phoneticPr fontId="16" type="noConversion"/>
  </si>
  <si>
    <t>ㄝ</t>
  </si>
  <si>
    <t>ㄇ</t>
    <phoneticPr fontId="9" type="noConversion"/>
  </si>
  <si>
    <t>ㄛㄇ</t>
    <phoneticPr fontId="9" type="noConversion"/>
  </si>
  <si>
    <t>ㄥㄨ</t>
  </si>
  <si>
    <t>ㄥㄚ</t>
  </si>
  <si>
    <t>ㄥㄛ</t>
  </si>
  <si>
    <t>ㄥㄝ</t>
  </si>
  <si>
    <t>ㄥㄞ</t>
  </si>
  <si>
    <t>ㄥㄠ</t>
  </si>
  <si>
    <t>ㄚㄇ</t>
    <phoneticPr fontId="9" type="noConversion"/>
  </si>
  <si>
    <t>ㄫ</t>
    <phoneticPr fontId="9" type="noConversion"/>
  </si>
  <si>
    <t>ㄥ</t>
    <phoneticPr fontId="9" type="noConversion"/>
  </si>
  <si>
    <t>ㆷ</t>
    <phoneticPr fontId="9" type="noConversion"/>
  </si>
  <si>
    <t>ㄅㆷ</t>
    <phoneticPr fontId="9" type="noConversion"/>
  </si>
  <si>
    <t>ㄍㆷ</t>
    <phoneticPr fontId="9" type="noConversion"/>
  </si>
  <si>
    <t>台語音標</t>
    <phoneticPr fontId="16" type="noConversion"/>
  </si>
  <si>
    <t>ㄥㄧ</t>
    <phoneticPr fontId="9" type="noConversion"/>
  </si>
  <si>
    <t>U+F8D0</t>
    <phoneticPr fontId="9" type="noConversion"/>
  </si>
  <si>
    <t>U+F8D1</t>
  </si>
  <si>
    <t>U+F8D2</t>
  </si>
  <si>
    <t>U+F8D3</t>
  </si>
  <si>
    <t>U+F8E0</t>
    <phoneticPr fontId="9" type="noConversion"/>
  </si>
  <si>
    <t>U+F8E1</t>
  </si>
  <si>
    <t>U+F8F0</t>
    <phoneticPr fontId="9" type="noConversion"/>
  </si>
  <si>
    <t>U+F8F1</t>
  </si>
  <si>
    <t>U+F8F2</t>
  </si>
  <si>
    <t>U+F8F3</t>
  </si>
  <si>
    <t></t>
  </si>
  <si>
    <t></t>
  </si>
  <si>
    <t></t>
  </si>
  <si>
    <t></t>
  </si>
  <si>
    <t></t>
  </si>
  <si>
    <t></t>
  </si>
  <si>
    <t></t>
  </si>
  <si>
    <t></t>
  </si>
  <si>
    <t></t>
  </si>
  <si>
    <t></t>
  </si>
  <si>
    <t>ㄯ</t>
  </si>
  <si>
    <t>ㄯ</t>
    <phoneticPr fontId="9" type="noConversion"/>
  </si>
  <si>
    <t>聲母</t>
  </si>
  <si>
    <t>塞音(不送氣)</t>
  </si>
  <si>
    <t>塞音(送氣)</t>
  </si>
  <si>
    <t>濁音</t>
  </si>
  <si>
    <t>鼻音</t>
  </si>
  <si>
    <t>擦音</t>
  </si>
  <si>
    <t>邊音</t>
  </si>
  <si>
    <t>唇音</t>
  </si>
  <si>
    <t>ㄅ /p/</t>
  </si>
  <si>
    <t>ㄆ /pʰ/</t>
  </si>
  <si>
    <t>ㆠ /b/</t>
  </si>
  <si>
    <t>ㄇ /m/</t>
  </si>
  <si>
    <t>舌尖音</t>
  </si>
  <si>
    <t>ㄉ /t/</t>
  </si>
  <si>
    <t>ㄊ /tʰ/</t>
  </si>
  <si>
    <t>ㄋ /n/</t>
  </si>
  <si>
    <t>ㄌ /l/</t>
  </si>
  <si>
    <t>舌齒音</t>
  </si>
  <si>
    <t>ㄗ /ʦ/</t>
  </si>
  <si>
    <t>ㄘ /ʦʰ/</t>
  </si>
  <si>
    <t>ㆡ /ʣ/</t>
  </si>
  <si>
    <t>ㄙ /s/</t>
  </si>
  <si>
    <t>齦顎音</t>
  </si>
  <si>
    <t>ㄐ /ʨ/</t>
  </si>
  <si>
    <t>ㄑ /ʨʰ/</t>
  </si>
  <si>
    <t>ㆢ /ʥ/</t>
  </si>
  <si>
    <t>ㄒ /ɕ/</t>
  </si>
  <si>
    <t>舌根音</t>
  </si>
  <si>
    <t>ㄍ /k/</t>
  </si>
  <si>
    <t>ㄎ /kʰ/</t>
  </si>
  <si>
    <t>ㆣ /g/</t>
  </si>
  <si>
    <t>ㄫ /ŋ/</t>
  </si>
  <si>
    <t>喉音</t>
  </si>
  <si>
    <t>ㄏ /h/</t>
  </si>
  <si>
    <t>發音部位</t>
    <phoneticPr fontId="9" type="noConversion"/>
  </si>
  <si>
    <t>韻母</t>
  </si>
  <si>
    <t>韻腹</t>
  </si>
  <si>
    <t>ə</t>
  </si>
  <si>
    <t>m̩</t>
  </si>
  <si>
    <t>陰聲韻</t>
  </si>
  <si>
    <t>ㄧㆦ</t>
  </si>
  <si>
    <t>ㄨㆤ</t>
  </si>
  <si>
    <t>鼻化韻</t>
  </si>
  <si>
    <t>ㄧㆬ</t>
  </si>
  <si>
    <t>ㄧㆰ</t>
  </si>
  <si>
    <t>-ŋ</t>
    <phoneticPr fontId="9" type="noConversion"/>
  </si>
  <si>
    <r>
      <rPr>
        <sz val="20"/>
        <color rgb="FF000000"/>
        <rFont val="新細明體"/>
        <family val="1"/>
        <charset val="136"/>
      </rPr>
      <t>ɪɔ</t>
    </r>
  </si>
  <si>
    <r>
      <rPr>
        <sz val="20"/>
        <color rgb="FF000000"/>
        <rFont val="新細明體"/>
        <family val="1"/>
        <charset val="136"/>
      </rPr>
      <t>ɔ</t>
    </r>
  </si>
  <si>
    <r>
      <t>ua</t>
    </r>
    <r>
      <rPr>
        <sz val="20"/>
        <color rgb="FF000000"/>
        <rFont val="新細明體"/>
        <family val="1"/>
        <charset val="136"/>
      </rPr>
      <t>ɪ</t>
    </r>
  </si>
  <si>
    <t>塞音
(不送氣)</t>
    <phoneticPr fontId="9" type="noConversion"/>
  </si>
  <si>
    <t>塞音
(送氣)</t>
    <phoneticPr fontId="9" type="noConversion"/>
  </si>
  <si>
    <t>國際音標</t>
    <phoneticPr fontId="9" type="noConversion"/>
  </si>
  <si>
    <t>p</t>
    <phoneticPr fontId="9" type="noConversion"/>
  </si>
  <si>
    <t>m</t>
    <phoneticPr fontId="9" type="noConversion"/>
  </si>
  <si>
    <t>b</t>
    <phoneticPr fontId="9" type="noConversion"/>
  </si>
  <si>
    <t>t</t>
    <phoneticPr fontId="9" type="noConversion"/>
  </si>
  <si>
    <t>n</t>
    <phoneticPr fontId="9" type="noConversion"/>
  </si>
  <si>
    <t>l</t>
    <phoneticPr fontId="9" type="noConversion"/>
  </si>
  <si>
    <t>ʦʰ</t>
    <phoneticPr fontId="9" type="noConversion"/>
  </si>
  <si>
    <t>ts</t>
    <phoneticPr fontId="9" type="noConversion"/>
  </si>
  <si>
    <t>ʣ</t>
    <phoneticPr fontId="9" type="noConversion"/>
  </si>
  <si>
    <t>k</t>
    <phoneticPr fontId="9" type="noConversion"/>
  </si>
  <si>
    <t>g</t>
    <phoneticPr fontId="9" type="noConversion"/>
  </si>
  <si>
    <t>h</t>
    <phoneticPr fontId="9" type="noConversion"/>
  </si>
  <si>
    <t>pʰ</t>
    <phoneticPr fontId="9" type="noConversion"/>
  </si>
  <si>
    <t>tʰ</t>
    <phoneticPr fontId="9" type="noConversion"/>
  </si>
  <si>
    <t>kʰ</t>
    <phoneticPr fontId="9" type="noConversion"/>
  </si>
  <si>
    <r>
      <rPr>
        <b/>
        <sz val="20"/>
        <color theme="8"/>
        <rFont val="芫荽 0.94"/>
        <family val="3"/>
        <charset val="136"/>
      </rPr>
      <t>ŋ</t>
    </r>
    <phoneticPr fontId="9" type="noConversion"/>
  </si>
  <si>
    <t>i</t>
    <phoneticPr fontId="9" type="noConversion"/>
  </si>
  <si>
    <t>u</t>
    <phoneticPr fontId="9" type="noConversion"/>
  </si>
  <si>
    <t>ɔ</t>
    <phoneticPr fontId="9" type="noConversion"/>
  </si>
  <si>
    <t>ə</t>
    <phoneticPr fontId="9" type="noConversion"/>
  </si>
  <si>
    <t>a</t>
    <phoneticPr fontId="9" type="noConversion"/>
  </si>
  <si>
    <t>ɛ</t>
    <phoneticPr fontId="9" type="noConversion"/>
  </si>
  <si>
    <t>an</t>
    <phoneticPr fontId="9" type="noConversion"/>
  </si>
  <si>
    <t>ən</t>
    <phoneticPr fontId="9" type="noConversion"/>
  </si>
  <si>
    <t>ɑŋ</t>
    <phoneticPr fontId="9" type="noConversion"/>
  </si>
  <si>
    <t>ㄜㄯ</t>
    <phoneticPr fontId="9" type="noConversion"/>
  </si>
  <si>
    <t>ㄚㆭ</t>
    <phoneticPr fontId="9" type="noConversion"/>
  </si>
  <si>
    <t>ㄜㆭ</t>
    <phoneticPr fontId="9" type="noConversion"/>
  </si>
  <si>
    <t>əŋ</t>
    <phoneticPr fontId="9" type="noConversion"/>
  </si>
  <si>
    <t>ing</t>
    <phoneticPr fontId="9" type="noConversion"/>
  </si>
  <si>
    <t>ㄥ</t>
    <phoneticPr fontId="9" type="noConversion"/>
  </si>
  <si>
    <t>ũ</t>
    <phoneticPr fontId="9" type="noConversion"/>
  </si>
  <si>
    <t>ĩ</t>
    <phoneticPr fontId="9" type="noConversion"/>
  </si>
  <si>
    <t>ẽ</t>
    <phoneticPr fontId="9" type="noConversion"/>
  </si>
  <si>
    <t>e</t>
    <phoneticPr fontId="9" type="noConversion"/>
  </si>
  <si>
    <t>ã</t>
    <phoneticPr fontId="9" type="noConversion"/>
  </si>
  <si>
    <t>ɔ̃</t>
    <phoneticPr fontId="9" type="noConversion"/>
  </si>
  <si>
    <t>ㄜ</t>
    <phoneticPr fontId="9" type="noConversion"/>
  </si>
  <si>
    <t>ㄝ</t>
    <phoneticPr fontId="9" type="noConversion"/>
  </si>
  <si>
    <t>ee</t>
    <phoneticPr fontId="9" type="noConversion"/>
  </si>
  <si>
    <t>er</t>
    <phoneticPr fontId="9" type="noConversion"/>
  </si>
  <si>
    <t>ㄡ</t>
    <phoneticPr fontId="9" type="noConversion"/>
  </si>
  <si>
    <t>ou̯</t>
    <phoneticPr fontId="9" type="noConversion"/>
  </si>
  <si>
    <t>ou</t>
    <phoneticPr fontId="9" type="noConversion"/>
  </si>
  <si>
    <t>ㄟ</t>
    <phoneticPr fontId="9" type="noConversion"/>
  </si>
  <si>
    <t>ei̯</t>
    <phoneticPr fontId="9" type="noConversion"/>
  </si>
  <si>
    <t>ei</t>
    <phoneticPr fontId="9" type="noConversion"/>
  </si>
  <si>
    <r>
      <t>a</t>
    </r>
    <r>
      <rPr>
        <sz val="20"/>
        <color rgb="FF000000"/>
        <rFont val="Times New Roman"/>
        <family val="1"/>
      </rPr>
      <t>ɪ</t>
    </r>
    <phoneticPr fontId="9" type="noConversion"/>
  </si>
  <si>
    <r>
      <t>a</t>
    </r>
    <r>
      <rPr>
        <sz val="20"/>
        <color rgb="FF000000"/>
        <rFont val="Times New Roman"/>
        <family val="1"/>
      </rPr>
      <t>ʊ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</si>
  <si>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a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</si>
  <si>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ə</t>
    </r>
  </si>
  <si>
    <r>
      <rPr>
        <sz val="20"/>
        <color rgb="FF000000"/>
        <rFont val="新細明體"/>
        <family val="1"/>
        <charset val="136"/>
      </rPr>
      <t>ŋ</t>
    </r>
    <r>
      <rPr>
        <sz val="20"/>
        <color rgb="FF000000"/>
        <rFont val="Noto Sans"/>
        <family val="2"/>
      </rPr>
      <t>̍</t>
    </r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</si>
  <si>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  <charset val="136"/>
      </rPr>
      <t>a</t>
    </r>
    <r>
      <rPr>
        <sz val="20"/>
        <color rgb="FF000000"/>
        <rFont val="新細明體"/>
        <family val="1"/>
        <charset val="136"/>
      </rPr>
      <t>ʊ</t>
    </r>
    <phoneticPr fontId="9" type="noConversion"/>
  </si>
  <si>
    <t>ㄬ</t>
    <phoneticPr fontId="9" type="noConversion"/>
  </si>
  <si>
    <t>B</t>
    <phoneticPr fontId="9" type="noConversion"/>
  </si>
  <si>
    <t>.</t>
    <phoneticPr fontId="9" type="noConversion"/>
  </si>
  <si>
    <t>en</t>
    <phoneticPr fontId="9" type="noConversion"/>
  </si>
  <si>
    <t>ㄣ</t>
    <phoneticPr fontId="9" type="noConversion"/>
  </si>
  <si>
    <t>ɔŋ</t>
    <phoneticPr fontId="9" type="noConversion"/>
  </si>
  <si>
    <t>ㄛㆭ</t>
    <phoneticPr fontId="9" type="noConversion"/>
  </si>
  <si>
    <t>ãĩ</t>
    <phoneticPr fontId="9" type="noConversion"/>
  </si>
  <si>
    <t>ãũ</t>
    <phoneticPr fontId="9" type="noConversion"/>
  </si>
  <si>
    <t>組合符號</t>
    <phoneticPr fontId="9" type="noConversion"/>
  </si>
  <si>
    <t>m̩</t>
    <phoneticPr fontId="9" type="noConversion"/>
  </si>
  <si>
    <t>ŋ̍</t>
    <phoneticPr fontId="9" type="noConversion"/>
  </si>
  <si>
    <t>p̚</t>
    <phoneticPr fontId="9" type="noConversion"/>
  </si>
  <si>
    <t>t̚</t>
    <phoneticPr fontId="9" type="noConversion"/>
  </si>
  <si>
    <t>k̚</t>
    <phoneticPr fontId="9" type="noConversion"/>
  </si>
  <si>
    <t>ʔ</t>
    <phoneticPr fontId="9" type="noConversion"/>
  </si>
  <si>
    <t>ɨ</t>
    <phoneticPr fontId="9" type="noConversion"/>
  </si>
  <si>
    <t>ɲ</t>
    <phoneticPr fontId="9" type="noConversion"/>
  </si>
  <si>
    <t>ㆴ</t>
    <phoneticPr fontId="9" type="noConversion"/>
  </si>
  <si>
    <t>ㆵ</t>
    <phoneticPr fontId="9" type="noConversion"/>
  </si>
  <si>
    <t>ㆻ</t>
    <phoneticPr fontId="9" type="noConversion"/>
  </si>
  <si>
    <t>ㆷ</t>
    <phoneticPr fontId="9" type="noConversion"/>
  </si>
  <si>
    <t>万</t>
    <phoneticPr fontId="9" type="noConversion"/>
  </si>
  <si>
    <t>ㄎ</t>
    <phoneticPr fontId="9" type="noConversion"/>
  </si>
  <si>
    <t>兀</t>
    <phoneticPr fontId="9" type="noConversion"/>
  </si>
  <si>
    <t>ㄛ</t>
    <phoneticPr fontId="9" type="noConversion"/>
  </si>
  <si>
    <t>ㄜ</t>
    <phoneticPr fontId="9" type="noConversion"/>
  </si>
  <si>
    <t>ㄭ</t>
    <phoneticPr fontId="9" type="noConversion"/>
  </si>
  <si>
    <t>⁰ㄨ</t>
  </si>
  <si>
    <t>⁰ㄚ</t>
  </si>
  <si>
    <t>⁰ㄞ</t>
  </si>
  <si>
    <t>⁰ㄠ</t>
  </si>
  <si>
    <t>按鍵符號</t>
    <phoneticPr fontId="9" type="noConversion"/>
  </si>
  <si>
    <t>台語音標注音</t>
    <phoneticPr fontId="9" type="noConversion"/>
  </si>
  <si>
    <t>tang1</t>
    <phoneticPr fontId="9" type="noConversion"/>
  </si>
  <si>
    <t>聲母 (21)</t>
  </si>
  <si>
    <t>韻母 (24)</t>
  </si>
  <si>
    <t>ㄒㄧ</t>
  </si>
  <si>
    <t>⁰ㄛ</t>
    <phoneticPr fontId="9" type="noConversion"/>
  </si>
  <si>
    <t>ㄛㄥ</t>
    <phoneticPr fontId="9" type="noConversion"/>
  </si>
  <si>
    <t>Ø</t>
  </si>
  <si>
    <t>pʰ</t>
  </si>
  <si>
    <t>tʰ</t>
  </si>
  <si>
    <t>ʦ/ʨ</t>
  </si>
  <si>
    <t>ʦʰ/ʨʰ</t>
  </si>
  <si>
    <t>ʣ/ʥ</t>
  </si>
  <si>
    <t>s/ɕ</t>
  </si>
  <si>
    <t>kʰ</t>
  </si>
  <si>
    <t>ㄏㄚ</t>
  </si>
  <si>
    <t>ㄅㄚ</t>
  </si>
  <si>
    <t>ㄆㄚ</t>
  </si>
  <si>
    <t>ㆠㄚ</t>
  </si>
  <si>
    <t>ㄇㄚ</t>
  </si>
  <si>
    <t>ㄉㄚ</t>
  </si>
  <si>
    <t>ㄊㄚ</t>
  </si>
  <si>
    <t>ㄋㄚ</t>
  </si>
  <si>
    <t>ㄌㄚ</t>
  </si>
  <si>
    <t>ㄗㄚ</t>
  </si>
  <si>
    <t>ㄘㄚ</t>
  </si>
  <si>
    <t>ㄙㄚ</t>
  </si>
  <si>
    <t>ㄍㄚ</t>
  </si>
  <si>
    <t>ㄎㄚ</t>
  </si>
  <si>
    <t>ㆣㄚ</t>
  </si>
  <si>
    <t>ㄫㄚ</t>
  </si>
  <si>
    <t>ㄏㆩ</t>
  </si>
  <si>
    <t>ㄆㆩ</t>
  </si>
  <si>
    <t>ㄉㆩ</t>
  </si>
  <si>
    <t>ㄊㆩ</t>
  </si>
  <si>
    <t>ㄗㆩ</t>
  </si>
  <si>
    <t>ㄘㆩ</t>
  </si>
  <si>
    <t>ㄙㆩ</t>
  </si>
  <si>
    <t>ㄍㆩ</t>
  </si>
  <si>
    <t>ㄎㆩ</t>
  </si>
  <si>
    <t>ㄚㆷ</t>
  </si>
  <si>
    <t>ㄏㄚㆷ</t>
  </si>
  <si>
    <t>ㄅㄚㆷ</t>
  </si>
  <si>
    <t>ㄆㄚㆷ</t>
  </si>
  <si>
    <t>ㆠㄚㆷ</t>
  </si>
  <si>
    <t>ㄇㄚㆷ</t>
  </si>
  <si>
    <t>ㄉㄚㆷ</t>
  </si>
  <si>
    <t>ㄊㄚㆷ</t>
  </si>
  <si>
    <t>ㄋㄚㆷ</t>
  </si>
  <si>
    <t>ㄌㄚㆷ</t>
  </si>
  <si>
    <t>ㄗㄚㆷ</t>
  </si>
  <si>
    <t>ㄘㄚㆷ</t>
  </si>
  <si>
    <t>ㄙㄚㆷ</t>
  </si>
  <si>
    <t>ㄍㄚㆷ</t>
  </si>
  <si>
    <t>ㄎㄚㆷ</t>
  </si>
  <si>
    <t>ㆩㆷ</t>
  </si>
  <si>
    <t>ㄏㆩㆷ</t>
  </si>
  <si>
    <t>ㄙㆩㆷ</t>
  </si>
  <si>
    <t>ㄏㆰ</t>
  </si>
  <si>
    <t>ㄉㆰ</t>
  </si>
  <si>
    <t>ㄊㆰ</t>
  </si>
  <si>
    <t>ㄌㆰ</t>
  </si>
  <si>
    <t>ㄗㆰ</t>
  </si>
  <si>
    <t>ㄘㆰ</t>
  </si>
  <si>
    <t>ㄙㆰ</t>
  </si>
  <si>
    <t>ㄍㆰ</t>
  </si>
  <si>
    <t>ㄎㆰ</t>
  </si>
  <si>
    <t>ㆣㆰ</t>
  </si>
  <si>
    <t>ㄏㄢ</t>
  </si>
  <si>
    <t>ㄅㄢ</t>
  </si>
  <si>
    <t>ㄆㄢ</t>
  </si>
  <si>
    <t>ㆠㄢ</t>
  </si>
  <si>
    <t>ㄉㄢ</t>
  </si>
  <si>
    <t>ㄊㄢ</t>
  </si>
  <si>
    <t>ㄌㄢ</t>
  </si>
  <si>
    <t>ㄗㄢ</t>
  </si>
  <si>
    <t>ㄘㄢ</t>
  </si>
  <si>
    <t>ㄙㄢ</t>
  </si>
  <si>
    <t>ㄍㄢ</t>
  </si>
  <si>
    <t>ㄎㄢ</t>
  </si>
  <si>
    <t>ㆣㄢ</t>
  </si>
  <si>
    <t>ㄏㄤ</t>
  </si>
  <si>
    <t>ㄅㄤ</t>
  </si>
  <si>
    <t>ㄆㄤ</t>
  </si>
  <si>
    <t>ㆠㄤ</t>
  </si>
  <si>
    <t>ㄉㄤ</t>
  </si>
  <si>
    <t>ㄊㄤ</t>
  </si>
  <si>
    <t>ㄌㄤ</t>
  </si>
  <si>
    <t>ㄗㄤ</t>
  </si>
  <si>
    <t>ㄘㄤ</t>
  </si>
  <si>
    <t>ㄙㄤ</t>
  </si>
  <si>
    <t>ㄍㄤ</t>
  </si>
  <si>
    <t>ㄎㄤ</t>
  </si>
  <si>
    <t>ㆣㄤ</t>
  </si>
  <si>
    <t>ap̚</t>
  </si>
  <si>
    <t>ㄚㆴ</t>
  </si>
  <si>
    <t>ㄏㄚㆴ</t>
  </si>
  <si>
    <t>ㄉㄚㆴ</t>
  </si>
  <si>
    <t>ㄊㄚㆴ</t>
  </si>
  <si>
    <t>ㄌㄚㆴ</t>
  </si>
  <si>
    <t>ㄗㄚㆴ</t>
  </si>
  <si>
    <t>ㄘㄚㆴ</t>
  </si>
  <si>
    <t>ㄙㄚㆴ</t>
  </si>
  <si>
    <t>ㄍㄚㆴ</t>
  </si>
  <si>
    <t>ㄎㄚㆴ</t>
  </si>
  <si>
    <t>at̚</t>
  </si>
  <si>
    <t>ㄚㆵ</t>
  </si>
  <si>
    <t>ㄏㄚㆵ</t>
  </si>
  <si>
    <t>ㄅㄚㆵ</t>
  </si>
  <si>
    <t>ㄆㄚㆵ</t>
  </si>
  <si>
    <t>ㆠㄚㆵ</t>
  </si>
  <si>
    <t>ㄉㄚㆵ</t>
  </si>
  <si>
    <t>ㄊㄚㆵ</t>
  </si>
  <si>
    <t>ㄌㄚㆵ</t>
  </si>
  <si>
    <t>ㄗㄚㆵ</t>
  </si>
  <si>
    <t>ㄘㄚㆵ</t>
  </si>
  <si>
    <t>ㄙㄚㆵ</t>
  </si>
  <si>
    <t>ㄍㄚㆵ</t>
  </si>
  <si>
    <t>ㄎㄚㆵ</t>
  </si>
  <si>
    <t>ak̚</t>
  </si>
  <si>
    <t>ㄚㆻ</t>
  </si>
  <si>
    <t>ㄏㄚㆻ</t>
  </si>
  <si>
    <t>ㄅㄚㆻ</t>
  </si>
  <si>
    <t>ㄆㄚㆻ</t>
  </si>
  <si>
    <t>ㆠㄚㆻ</t>
  </si>
  <si>
    <t>ㄉㄚㆻ</t>
  </si>
  <si>
    <t>ㄊㄚㆻ</t>
  </si>
  <si>
    <t>ㄌㄚㆻ</t>
  </si>
  <si>
    <t>ㄗㄚㆻ</t>
  </si>
  <si>
    <t>ㄘㄚㆻ</t>
  </si>
  <si>
    <t>ㄙㄚㆻ</t>
  </si>
  <si>
    <t>ㄍㄚㆻ</t>
  </si>
  <si>
    <t>ㄎㄚㆻ</t>
  </si>
  <si>
    <t>ㆣㄚㆻ</t>
  </si>
  <si>
    <t>ㄏㄞ</t>
  </si>
  <si>
    <t>ㄅㄞ</t>
  </si>
  <si>
    <t>ㄆㄞ</t>
  </si>
  <si>
    <t>ㆠㄞ</t>
  </si>
  <si>
    <t>ㄇㄞ</t>
  </si>
  <si>
    <t>ㄉㄞ</t>
  </si>
  <si>
    <t>ㄊㄞ</t>
  </si>
  <si>
    <t>ㄋㄞ</t>
  </si>
  <si>
    <t>ㄌㄞ</t>
  </si>
  <si>
    <t>ㄗㄞ</t>
  </si>
  <si>
    <t>ㄘㄞ</t>
  </si>
  <si>
    <t>ㄙㄞ</t>
  </si>
  <si>
    <t>ㄍㄞ</t>
  </si>
  <si>
    <t>ㄎㄞ</t>
  </si>
  <si>
    <t>ㆣㄞ</t>
  </si>
  <si>
    <t>ㄫㄞ</t>
  </si>
  <si>
    <t>ㄏㆮ</t>
  </si>
  <si>
    <t>ㄆㆮ</t>
  </si>
  <si>
    <t>ㄉㆮ</t>
  </si>
  <si>
    <t>ㄗㆮ</t>
  </si>
  <si>
    <t>ㄍㆮ</t>
  </si>
  <si>
    <t>ㄎㆮ</t>
  </si>
  <si>
    <t>ㄏㄞㆷ</t>
  </si>
  <si>
    <t>ㄌㄞㆷ</t>
  </si>
  <si>
    <t>ㄙㄞㆷ</t>
  </si>
  <si>
    <t>ㄏㄠ</t>
  </si>
  <si>
    <t>ㄅㄠ</t>
  </si>
  <si>
    <t>ㄆㄠ</t>
  </si>
  <si>
    <t>ㆠㄠ</t>
  </si>
  <si>
    <t>ㄉㄠ</t>
  </si>
  <si>
    <t>ㄊㄠ</t>
  </si>
  <si>
    <t>ㄋㄠ</t>
  </si>
  <si>
    <t>ㄌㄠ</t>
  </si>
  <si>
    <t>ㄗㄠ</t>
  </si>
  <si>
    <t>ㄘㄠ</t>
  </si>
  <si>
    <t>ㄙㄠ</t>
  </si>
  <si>
    <t>ㄍㄠ</t>
  </si>
  <si>
    <t>ㄎㄠ</t>
  </si>
  <si>
    <t>ㆣㄠ</t>
  </si>
  <si>
    <t>ㄫㄠ</t>
  </si>
  <si>
    <t>auʔ</t>
  </si>
  <si>
    <t>ㄆㄠㆷ</t>
  </si>
  <si>
    <t>ㄇㄠㆷ</t>
  </si>
  <si>
    <t>ㄉㄠㆷ</t>
  </si>
  <si>
    <t>ㄋㄠㆷ</t>
  </si>
  <si>
    <t>ㄌㄠㆷ</t>
  </si>
  <si>
    <t>ㄘㄠㆷ</t>
  </si>
  <si>
    <t>ㄍㄠㆷ</t>
  </si>
  <si>
    <t>ㄫㄠㆷ</t>
  </si>
  <si>
    <t>ㄏㆤ</t>
  </si>
  <si>
    <t>ㄅㆤ</t>
  </si>
  <si>
    <t>ㄆㆤ</t>
  </si>
  <si>
    <t>ㆠㆤ</t>
  </si>
  <si>
    <t>ㄇㆤ</t>
  </si>
  <si>
    <t>ㄉㆤ</t>
  </si>
  <si>
    <t>ㄊㆤ</t>
  </si>
  <si>
    <t>ㄋㆤ</t>
  </si>
  <si>
    <t>ㄌㆤ</t>
  </si>
  <si>
    <t>ㄗㆤ</t>
  </si>
  <si>
    <t>ㄘㆤ</t>
  </si>
  <si>
    <t>ㄙㆤ</t>
  </si>
  <si>
    <t>ㄍㆤ</t>
  </si>
  <si>
    <t>ㄎㆤ</t>
  </si>
  <si>
    <t>ㆣㆤ</t>
  </si>
  <si>
    <t>ㄫㆤ</t>
  </si>
  <si>
    <t>ㄏㆥ</t>
  </si>
  <si>
    <t>ㄅㆥ</t>
  </si>
  <si>
    <t>ㄆㆥ</t>
  </si>
  <si>
    <t>ㄉㆥ</t>
  </si>
  <si>
    <t>ㄊㆥ</t>
  </si>
  <si>
    <t>ㄗㆥ</t>
  </si>
  <si>
    <t>ㄘㆥ</t>
  </si>
  <si>
    <t>ㄙㆥ</t>
  </si>
  <si>
    <t>ㄍㆥ</t>
  </si>
  <si>
    <t>ㄎㆥ</t>
  </si>
  <si>
    <t>eʔ</t>
  </si>
  <si>
    <t>ㄏㆤㆷ</t>
  </si>
  <si>
    <t>ㄅㆤㆷ</t>
  </si>
  <si>
    <t>ㄆㆤㆷ</t>
  </si>
  <si>
    <t>ㆠㆤㆷ</t>
  </si>
  <si>
    <t>ㄇㆤㆷ</t>
  </si>
  <si>
    <t>ㄉㆤㆷ</t>
  </si>
  <si>
    <t>ㄊㆤㆷ</t>
  </si>
  <si>
    <t>ㄋㆤㆷ</t>
  </si>
  <si>
    <t>ㄌㆤㆷ</t>
  </si>
  <si>
    <t>ㄗㆤㆷ</t>
  </si>
  <si>
    <t>ㄘㆤㆷ</t>
  </si>
  <si>
    <t>ㄙㆤㆷ</t>
  </si>
  <si>
    <t>ㄍㆤㆷ</t>
  </si>
  <si>
    <t>ㄎㆤㆷ</t>
  </si>
  <si>
    <t>ㆣㆤㆷ</t>
  </si>
  <si>
    <t>ㄫㆤㆷ</t>
  </si>
  <si>
    <t>ẽʔ</t>
  </si>
  <si>
    <t>ㆥㆷ</t>
  </si>
  <si>
    <t>ㄏㆥㆷ</t>
  </si>
  <si>
    <t>ㄎㆥㆷ</t>
  </si>
  <si>
    <t>ㄏㄧ</t>
  </si>
  <si>
    <t>ㄅㄧ</t>
  </si>
  <si>
    <t>ㄆㄧ</t>
  </si>
  <si>
    <t>ㆠㄧ</t>
  </si>
  <si>
    <t>ㄇㄧ</t>
  </si>
  <si>
    <t>ㄉㄧ</t>
  </si>
  <si>
    <t>ㄊㄧ</t>
  </si>
  <si>
    <t>ㄋㄧ</t>
  </si>
  <si>
    <t>ㄌㄧ</t>
  </si>
  <si>
    <t>ㄐㄧ</t>
  </si>
  <si>
    <t>ㄑㄧ</t>
  </si>
  <si>
    <t>ㆢㄧ</t>
  </si>
  <si>
    <t>ㄍㄧ</t>
  </si>
  <si>
    <t>ㄎㄧ</t>
  </si>
  <si>
    <t>ㆣㄧ</t>
  </si>
  <si>
    <t>ㄫㄧ</t>
  </si>
  <si>
    <t>ĩ</t>
  </si>
  <si>
    <t>ㄏㆪ</t>
  </si>
  <si>
    <t>ㄅㆪ</t>
  </si>
  <si>
    <t>ㄆㆪ</t>
  </si>
  <si>
    <t>ㄉㆪ</t>
  </si>
  <si>
    <t>ㄊㆪ</t>
  </si>
  <si>
    <t>ㄐㆪ</t>
  </si>
  <si>
    <t>ㄑㆪ</t>
  </si>
  <si>
    <t>ㄒㆪ</t>
  </si>
  <si>
    <t>ㄍㆪ</t>
  </si>
  <si>
    <t>ㄎㆪ</t>
  </si>
  <si>
    <t>iʔ</t>
  </si>
  <si>
    <t>ㄧㆷ</t>
  </si>
  <si>
    <t>ㄅㄧㆷ</t>
  </si>
  <si>
    <t>ㄆㄧㆷ</t>
  </si>
  <si>
    <t>ㆠㄧㆷ</t>
  </si>
  <si>
    <t>ㄇㄧㆷ</t>
  </si>
  <si>
    <t>ㄉㄧㆷ</t>
  </si>
  <si>
    <t>ㄊㄧㆷ</t>
  </si>
  <si>
    <t>ㄋㄧㆷ</t>
  </si>
  <si>
    <t>ㄌㄧㆷ</t>
  </si>
  <si>
    <t>ㄐㄧㆷ</t>
  </si>
  <si>
    <t>ㄑㄧㆷ</t>
  </si>
  <si>
    <t>ㄒㄧㆷ</t>
  </si>
  <si>
    <t>ㄍㄧㆷ</t>
  </si>
  <si>
    <t>ㄎㄧㆷ</t>
  </si>
  <si>
    <t>ㄏㄧㆬ</t>
  </si>
  <si>
    <t>ㄉㄧㆬ</t>
  </si>
  <si>
    <t>ㄊㄧㆬ</t>
  </si>
  <si>
    <t>ㄌㄧㆬ</t>
  </si>
  <si>
    <t>ㄐㄧㆬ</t>
  </si>
  <si>
    <t>ㄑㄧㆬ</t>
  </si>
  <si>
    <t>ㆢㄧㆬ</t>
  </si>
  <si>
    <t>ㄒㄧㆬ</t>
  </si>
  <si>
    <t>ㄍㄧㆬ</t>
  </si>
  <si>
    <t>ㄎㄧㆬ</t>
  </si>
  <si>
    <t>ㆣㄧㆬ</t>
  </si>
  <si>
    <t>ㄏㄧㄣ</t>
  </si>
  <si>
    <t>ㄅㄧㄣ</t>
  </si>
  <si>
    <t>ㄆㄧㄣ</t>
  </si>
  <si>
    <t>ㆠㄧㄣ</t>
  </si>
  <si>
    <t>ㄉㄧㄣ</t>
  </si>
  <si>
    <t>ㄊㄧㄣ</t>
  </si>
  <si>
    <t>ㄌㄧㄣ</t>
  </si>
  <si>
    <t>ㄐㄧㄣ</t>
  </si>
  <si>
    <t>ㄑㄧㄣ</t>
  </si>
  <si>
    <t>ㆢㄧㄣ</t>
  </si>
  <si>
    <t>ㄒㄧㄣ</t>
  </si>
  <si>
    <t>ㄍㄧㄣ</t>
  </si>
  <si>
    <t>ㄎㄧㄣ</t>
  </si>
  <si>
    <t>ㆣㄧㄣ</t>
  </si>
  <si>
    <t>ㄏㄧㄥ</t>
  </si>
  <si>
    <t>ㄅㄧㄥ</t>
  </si>
  <si>
    <t>ㄆㄧㄥ</t>
  </si>
  <si>
    <t>ㆠㄧㄥ</t>
  </si>
  <si>
    <t>ㄉㄧㄥ</t>
  </si>
  <si>
    <t>ㄊㄧㄥ</t>
  </si>
  <si>
    <t>ㄌㄧㄥ</t>
  </si>
  <si>
    <t>ㄐㄧㄥ</t>
  </si>
  <si>
    <t>ㄑㄧㄥ</t>
  </si>
  <si>
    <t>ㄒㄧㄥ</t>
  </si>
  <si>
    <t>ㄍㄧㄥ</t>
  </si>
  <si>
    <t>ㄎㄧㄥ</t>
  </si>
  <si>
    <t>ㆣㄧㄥ</t>
  </si>
  <si>
    <t>ip̚</t>
  </si>
  <si>
    <t>ㄧㆴ</t>
  </si>
  <si>
    <t>ㄏㄧㆴ</t>
  </si>
  <si>
    <t>ㄌㄧㆴ</t>
  </si>
  <si>
    <t>ㄐㄧㆴ</t>
  </si>
  <si>
    <t>ㄑㄧㆴ</t>
  </si>
  <si>
    <t>ㆢㄧㆴ</t>
  </si>
  <si>
    <t>ㄒㄧㆴ</t>
  </si>
  <si>
    <t>ㄍㄧㆴ</t>
  </si>
  <si>
    <t>ㄎㄧㆴ</t>
  </si>
  <si>
    <t>it̚</t>
  </si>
  <si>
    <t>ㄧㆵ</t>
  </si>
  <si>
    <t>ㄏㄧㆵ</t>
  </si>
  <si>
    <t>ㄅㄧㆵ</t>
  </si>
  <si>
    <t>ㄆㄧㆵ</t>
  </si>
  <si>
    <t>ㆠㄧㆵ</t>
  </si>
  <si>
    <t>ㄉㄧㆵ</t>
  </si>
  <si>
    <t>ㄊㄧㆵ</t>
  </si>
  <si>
    <t>ㄌㄧㆵ</t>
  </si>
  <si>
    <t>ㄐㄧㆵ</t>
  </si>
  <si>
    <t>ㄑㄧㆵ</t>
  </si>
  <si>
    <t>ㆢㄧㆵ</t>
  </si>
  <si>
    <t>ㄒㄧㆵ</t>
  </si>
  <si>
    <t>ㄍㄧㆵ</t>
  </si>
  <si>
    <t>ㄎㄧㆵ</t>
  </si>
  <si>
    <t>ㄧㆻ</t>
  </si>
  <si>
    <t>ㄏㄧㆻ</t>
  </si>
  <si>
    <t>ㄅㄧㆻ</t>
  </si>
  <si>
    <t>ㄆㄧㆻ</t>
  </si>
  <si>
    <t>ㆠㄧㆻ</t>
  </si>
  <si>
    <t>ㄉㄧㆻ</t>
  </si>
  <si>
    <t>ㄊㄧㆻ</t>
  </si>
  <si>
    <t>ㄌㄧㆻ</t>
  </si>
  <si>
    <t>ㄐㄧㆻ</t>
  </si>
  <si>
    <t>ㄑㄧㆻ</t>
  </si>
  <si>
    <t>ㆢㄧㆻ</t>
  </si>
  <si>
    <t>ㄒㄧㆻ</t>
  </si>
  <si>
    <t>ㄍㄧㆻ</t>
  </si>
  <si>
    <t>ㄎㄧㆻ</t>
  </si>
  <si>
    <t>ㆣㄧㆻ</t>
  </si>
  <si>
    <t>ㄏㄧㄚ</t>
  </si>
  <si>
    <t>ㄇㄧㄚ</t>
  </si>
  <si>
    <t>ㄉㄧㄚ</t>
  </si>
  <si>
    <t>ㄋㄧㄚ</t>
  </si>
  <si>
    <t>ㄌㄧㄚ</t>
  </si>
  <si>
    <t>ㄐㄧㄚ</t>
  </si>
  <si>
    <t>ㄑㄧㄚ</t>
  </si>
  <si>
    <t>ㆢㄧㄚ</t>
  </si>
  <si>
    <t>ㄒㄧㄚ</t>
  </si>
  <si>
    <t>ㄍㄧㄚ</t>
  </si>
  <si>
    <t>ㄎㄧㄚ</t>
  </si>
  <si>
    <t>ㆣㄧㄚ</t>
  </si>
  <si>
    <t>ㄫㄧㄚ</t>
  </si>
  <si>
    <t>iã</t>
  </si>
  <si>
    <t>ㄏㄧㆩ</t>
  </si>
  <si>
    <t>ㄅㄧㆩ</t>
  </si>
  <si>
    <t>ㄆㄧㆩ</t>
  </si>
  <si>
    <t>ㄉㄧㆩ</t>
  </si>
  <si>
    <t>ㄊㄧㆩ</t>
  </si>
  <si>
    <t>ㄐㄧㆩ</t>
  </si>
  <si>
    <t>ㄑㄧㆩ</t>
  </si>
  <si>
    <t>ㄒㄧㆩ</t>
  </si>
  <si>
    <t>ㄍㄧㆩ</t>
  </si>
  <si>
    <t>ㄎㄧㆩ</t>
  </si>
  <si>
    <t>ㄏㄧㄚㆷ</t>
  </si>
  <si>
    <t>ㄅㄧㄚㆷ</t>
  </si>
  <si>
    <t>ㄆㄧㄚㆷ</t>
  </si>
  <si>
    <t>ㄉㄧㄚㆷ</t>
  </si>
  <si>
    <t>ㄊㄧㄚㆷ</t>
  </si>
  <si>
    <t>ㄌㄧㄚㆷ</t>
  </si>
  <si>
    <t>ㄐㄧㄚㆷ</t>
  </si>
  <si>
    <t>ㄑㄧㄚㆷ</t>
  </si>
  <si>
    <t>ㆢㄧㄚㆷ</t>
  </si>
  <si>
    <t>ㄒㄧㄚㆷ</t>
  </si>
  <si>
    <t>ㄍㄧㄚㆷ</t>
  </si>
  <si>
    <t>ㄎㄧㄚㆷ</t>
  </si>
  <si>
    <t>ㆣㄧㄚㆷ</t>
  </si>
  <si>
    <t>iãʔ</t>
  </si>
  <si>
    <t>ㄏㄧㆩㆷ</t>
  </si>
  <si>
    <t>ㄒㄧㆩㆷ</t>
  </si>
  <si>
    <t>ㄏㄧㆰ</t>
  </si>
  <si>
    <t>ㄉㄧㆰ</t>
  </si>
  <si>
    <t>ㄊㄧㆰ</t>
  </si>
  <si>
    <t>ㄌㄧㆰ</t>
  </si>
  <si>
    <t>ㄐㄧㆰ</t>
  </si>
  <si>
    <t>ㄑㄧㆰ</t>
  </si>
  <si>
    <t>ㆢㄧㆰ</t>
  </si>
  <si>
    <t>ㄒㄧㆰ</t>
  </si>
  <si>
    <t>ㄍㄧㆰ</t>
  </si>
  <si>
    <t>ㄎㄧㆰ</t>
  </si>
  <si>
    <t>ㆣㄧㆰ</t>
  </si>
  <si>
    <t>ㄏㄧㄢ</t>
  </si>
  <si>
    <t>ㄅㄧㄢ</t>
  </si>
  <si>
    <t>ㄆㄧㄢ</t>
  </si>
  <si>
    <t>ㆠㄧㄢ</t>
  </si>
  <si>
    <t>ㄉㄧㄢ</t>
  </si>
  <si>
    <t>ㄊㄧㄢ</t>
  </si>
  <si>
    <t>ㄌㄧㄢ</t>
  </si>
  <si>
    <t>ㄐㄧㄢ</t>
  </si>
  <si>
    <t>ㄑㄧㄢ</t>
  </si>
  <si>
    <t>ㆢㄧㄢ</t>
  </si>
  <si>
    <t>ㄒㄧㄢ</t>
  </si>
  <si>
    <t>ㄍㄧㄢ</t>
  </si>
  <si>
    <t>ㄎㄧㄢ</t>
  </si>
  <si>
    <t>ㆣㄧㄢ</t>
  </si>
  <si>
    <t>ㄏㄧㄤ</t>
  </si>
  <si>
    <t>ㄅㄧㄤ</t>
  </si>
  <si>
    <t>ㄆㄧㄤ</t>
  </si>
  <si>
    <t>ㄌㄧㄤ</t>
  </si>
  <si>
    <t>ㄐㄧㄤ</t>
  </si>
  <si>
    <t>ㄑㄧㄤ</t>
  </si>
  <si>
    <t>ㆢㄧㄤ</t>
  </si>
  <si>
    <t>ㄒㄧㄤ</t>
  </si>
  <si>
    <t>ㄍㄧㄤ</t>
  </si>
  <si>
    <t>ㄎㄧㄤ</t>
  </si>
  <si>
    <t>ㆣㄧㄤ</t>
  </si>
  <si>
    <t>ㄧㄚㆴ</t>
  </si>
  <si>
    <t>ㄏㄧㄚㆴ</t>
  </si>
  <si>
    <t>ㄉㄧㄚㆴ</t>
  </si>
  <si>
    <t>ㄊㄧㄚㆴ</t>
  </si>
  <si>
    <t>ㄌㄧㄚㆴ</t>
  </si>
  <si>
    <t>ㄐㄧㄚㆴ</t>
  </si>
  <si>
    <t>ㄑㄧㄚㆴ</t>
  </si>
  <si>
    <t>ㆢㄧㄚㆴ</t>
  </si>
  <si>
    <t>ㄒㄧㄚㆴ</t>
  </si>
  <si>
    <t>ㄍㄧㄚㆴ</t>
  </si>
  <si>
    <t>ㄎㄧㄚㆴ</t>
  </si>
  <si>
    <t>ㆣㄧㄚㆴ</t>
  </si>
  <si>
    <t>ㄧㄚㆵ</t>
  </si>
  <si>
    <t>ㄏㄧㄚㆵ</t>
  </si>
  <si>
    <t>ㄅㄧㄚㆵ</t>
  </si>
  <si>
    <t>ㄆㄧㄚㆵ</t>
  </si>
  <si>
    <t>ㆠㄧㄚㆵ</t>
  </si>
  <si>
    <t>ㄉㄧㄚㆵ</t>
  </si>
  <si>
    <t>ㄊㄧㄚㆵ</t>
  </si>
  <si>
    <t>ㄌㄧㄚㆵ</t>
  </si>
  <si>
    <t>ㄐㄧㄚㆵ</t>
  </si>
  <si>
    <t>ㄑㄧㄚㆵ</t>
  </si>
  <si>
    <t>ㆢㄧㄚㆵ</t>
  </si>
  <si>
    <t>ㄒㄧㄚㆵ</t>
  </si>
  <si>
    <t>ㄍㄧㄚㆵ</t>
  </si>
  <si>
    <t>ㄎㄧㄚㆵ</t>
  </si>
  <si>
    <t>ㆣㄧㄚㆵ</t>
  </si>
  <si>
    <t>ㄧㄚㆻ</t>
  </si>
  <si>
    <t>ㄅㄧㄚㆻ</t>
  </si>
  <si>
    <t>ㄆㄧㄚㆻ</t>
  </si>
  <si>
    <t>ㄉㄧㄚㆻ</t>
  </si>
  <si>
    <t>ㄑㄧㄚㆻ</t>
  </si>
  <si>
    <t>ㄒㄧㄚㆻ</t>
  </si>
  <si>
    <t>ㄎㄧㄚㆻ</t>
  </si>
  <si>
    <t>ㄏㄧㄠ</t>
  </si>
  <si>
    <t>ㄅㄧㄠ</t>
  </si>
  <si>
    <t>ㄆㄧㄠ</t>
  </si>
  <si>
    <t>ㆠㄧㄠ</t>
  </si>
  <si>
    <t>ㄇㄧㄠ</t>
  </si>
  <si>
    <t>ㄉㄧㄠ</t>
  </si>
  <si>
    <t>ㄊㄧㄠ</t>
  </si>
  <si>
    <t>ㄋㄧㄠ</t>
  </si>
  <si>
    <t>ㄌㄧㄠ</t>
  </si>
  <si>
    <t>ㄐㄧㄠ</t>
  </si>
  <si>
    <t>ㄑㄧㄠ</t>
  </si>
  <si>
    <t>ㆢㄧㄠ</t>
  </si>
  <si>
    <t>ㄒㄧㄠ</t>
  </si>
  <si>
    <t>ㄍㄧㄠ</t>
  </si>
  <si>
    <t>ㄎㄧㄠ</t>
  </si>
  <si>
    <t>ㆣㄧㄠ</t>
  </si>
  <si>
    <t>ㄫㄧㄠ</t>
  </si>
  <si>
    <t>ㄏㄧㄠㆷ</t>
  </si>
  <si>
    <t>ㄎㄧㄠㆷ</t>
  </si>
  <si>
    <t>ㄫㄧㄠㆷ</t>
  </si>
  <si>
    <t>ㄏㄧㄜ</t>
  </si>
  <si>
    <t>ㄅㄧㄜ</t>
  </si>
  <si>
    <t>ㄆㄧㄜ</t>
  </si>
  <si>
    <t>ㆠㄧㄜ</t>
  </si>
  <si>
    <t>ㄉㄧㄜ</t>
  </si>
  <si>
    <t>ㄊㄧㄜ</t>
  </si>
  <si>
    <t>ㄌㄧㄜ</t>
  </si>
  <si>
    <t>ㄐㄧㄜ</t>
  </si>
  <si>
    <t>ㄑㄧㄜ</t>
  </si>
  <si>
    <t>ㆢㄧㄜ</t>
  </si>
  <si>
    <t>ㄒㄧㄜ</t>
  </si>
  <si>
    <t>ㄍㄧㄜ</t>
  </si>
  <si>
    <t>ㄎㄧㄜ</t>
  </si>
  <si>
    <t>ㆣㄧㄜ</t>
  </si>
  <si>
    <t>ㄏㄧㆧ</t>
  </si>
  <si>
    <t>ㄉㄧㆧ</t>
  </si>
  <si>
    <t>ㄐㄧㆧ</t>
  </si>
  <si>
    <t>ㄑㄧㆧ</t>
  </si>
  <si>
    <t>ㄒㄧㆧ</t>
  </si>
  <si>
    <t>ㄍㄧㆧ</t>
  </si>
  <si>
    <t>ㄎㄧㆧ</t>
  </si>
  <si>
    <t>ㄏㄧㄜㆷ</t>
  </si>
  <si>
    <t>ㄉㄧㄜㆷ</t>
  </si>
  <si>
    <t>ㄌㄧㄜㆷ</t>
  </si>
  <si>
    <t>ㄐㄧㄜㆷ</t>
  </si>
  <si>
    <t>ㄑㄧㄜㆷ</t>
  </si>
  <si>
    <t>ㄒㄧㄜㆷ</t>
  </si>
  <si>
    <t>ㄍㄧㄜㆷ</t>
  </si>
  <si>
    <t>ㄎㄧㄜㆷ</t>
  </si>
  <si>
    <t>ㆣㄧㄜㆷ</t>
  </si>
  <si>
    <t>ㄏㄧㆲ</t>
  </si>
  <si>
    <t>ㄉㄧㆲ</t>
  </si>
  <si>
    <t>ㄊㄧㆲ</t>
  </si>
  <si>
    <t>ㄌㄧㆲ</t>
  </si>
  <si>
    <t>ㄐㄧㆲ</t>
  </si>
  <si>
    <t>ㄑㄧㆲ</t>
  </si>
  <si>
    <t>ㆢㄧㆲ</t>
  </si>
  <si>
    <t>ㄒㄧㆲ</t>
  </si>
  <si>
    <t>ㄍㄧㆲ</t>
  </si>
  <si>
    <t>ㄎㄧㆲ</t>
  </si>
  <si>
    <t>ㆣㄧㆲ</t>
  </si>
  <si>
    <t>ㄧㆦㆻ</t>
  </si>
  <si>
    <t>ㄏㄧㆦㆻ</t>
  </si>
  <si>
    <t>ㄉㄧㆦㆻ</t>
  </si>
  <si>
    <t>ㄊㄧㆦㆻ</t>
  </si>
  <si>
    <t>ㄌㄧㆦㆻ</t>
  </si>
  <si>
    <t>ㄐㄧㆦㆻ</t>
  </si>
  <si>
    <t>ㄑㄧㆦㆻ</t>
  </si>
  <si>
    <t>ㆢㄧㆦㆻ</t>
  </si>
  <si>
    <t>ㄒㄧㆦㆻ</t>
  </si>
  <si>
    <t>ㄍㄧㆦㆻ</t>
  </si>
  <si>
    <t>ㄎㄧㆦㆻ</t>
  </si>
  <si>
    <t>ㆣㄧㆦㆻ</t>
  </si>
  <si>
    <t>ㄏㄧㄨ</t>
  </si>
  <si>
    <t>ㄅㄧㄨ</t>
  </si>
  <si>
    <t>ㆠㄧㄨ</t>
  </si>
  <si>
    <t>ㄉㄧㄨ</t>
  </si>
  <si>
    <t>ㄊㄧㄨ</t>
  </si>
  <si>
    <t>ㄋㄧㄨ</t>
  </si>
  <si>
    <t>ㄌㄧㄨ</t>
  </si>
  <si>
    <t>ㄐㄧㄨ</t>
  </si>
  <si>
    <t>ㄑㄧㄨ</t>
  </si>
  <si>
    <t>ㆢㄧㄨ</t>
  </si>
  <si>
    <t>ㄒㄧㄨ</t>
  </si>
  <si>
    <t>ㄍㄧㄨ</t>
  </si>
  <si>
    <t>ㄎㄧㄨ</t>
  </si>
  <si>
    <t>ㆣㄧㄨ</t>
  </si>
  <si>
    <t>ㄫㄧㄨ</t>
  </si>
  <si>
    <t>iũ</t>
  </si>
  <si>
    <t>ㄏㄧㆫ</t>
  </si>
  <si>
    <t>ㄉㄧㆫ</t>
  </si>
  <si>
    <t>ㄐㄧㆫ</t>
  </si>
  <si>
    <t>ㄑㄧㆫ</t>
  </si>
  <si>
    <t>ㄒㄧㆫ</t>
  </si>
  <si>
    <t>ㄍㄧㆫ</t>
  </si>
  <si>
    <t>ㄎㄧㆫ</t>
  </si>
  <si>
    <t>iũʔ</t>
  </si>
  <si>
    <t>ㄧㆫㆷ</t>
  </si>
  <si>
    <t>ㄏㄧㆫㆷ</t>
  </si>
  <si>
    <t>ə/o</t>
  </si>
  <si>
    <t>ㄏㄜ</t>
  </si>
  <si>
    <t>ㄅㄜ</t>
  </si>
  <si>
    <t>ㄆㄜ</t>
  </si>
  <si>
    <t>ㆠㄜ</t>
  </si>
  <si>
    <t>ㄉㄜ</t>
  </si>
  <si>
    <t>ㄊㄜ</t>
  </si>
  <si>
    <t>ㄌㄜ</t>
  </si>
  <si>
    <t>ㄗㄜ</t>
  </si>
  <si>
    <t>ㄘㄜ</t>
  </si>
  <si>
    <t>ㄙㄜ</t>
  </si>
  <si>
    <t>ㄍㄜ</t>
  </si>
  <si>
    <t>ㄎㄜ</t>
  </si>
  <si>
    <t>ㆣㄜ</t>
  </si>
  <si>
    <t>ㄏㆦ</t>
  </si>
  <si>
    <t>ㄅㆦ</t>
  </si>
  <si>
    <t>ㄆㆦ</t>
  </si>
  <si>
    <t>ㆠㆦ</t>
  </si>
  <si>
    <t>ㄇㆦ</t>
  </si>
  <si>
    <t>ㄉㆦ</t>
  </si>
  <si>
    <t>ㄊㆦ</t>
  </si>
  <si>
    <t>ㄋㆦ</t>
  </si>
  <si>
    <t>ㄌㆦ</t>
  </si>
  <si>
    <t>ㄗㆦ</t>
  </si>
  <si>
    <t>ㄘㆦ</t>
  </si>
  <si>
    <t>ㄙㆦ</t>
  </si>
  <si>
    <t>ㄍㆦ</t>
  </si>
  <si>
    <t>ㄎㆦ</t>
  </si>
  <si>
    <t>ㆣㆦ</t>
  </si>
  <si>
    <t>ㄫㆦ</t>
  </si>
  <si>
    <t>ㄏㆧ</t>
  </si>
  <si>
    <t>ㄍㆧ</t>
  </si>
  <si>
    <t>ㄜㆷ</t>
  </si>
  <si>
    <t>ㄏㄜㆷ</t>
  </si>
  <si>
    <t>ㄅㄜㆷ</t>
  </si>
  <si>
    <t>ㄆㄜㆷ</t>
  </si>
  <si>
    <t>ㆠㄜㆷ</t>
  </si>
  <si>
    <t>ㄉㄜㆷ</t>
  </si>
  <si>
    <t>ㄊㄜㆷ</t>
  </si>
  <si>
    <t>ㄌㄜㆷ</t>
  </si>
  <si>
    <t>ㄗㄜㆷ</t>
  </si>
  <si>
    <t>ㄘㄜㆷ</t>
  </si>
  <si>
    <t>ㄙㄜㆷ</t>
  </si>
  <si>
    <t>ㄍㄜㆷ</t>
  </si>
  <si>
    <t>ㄏㆦㆷ</t>
  </si>
  <si>
    <t>ㄇㆦㆷ</t>
  </si>
  <si>
    <t>ㄉㆦㆷ</t>
  </si>
  <si>
    <t>ㄌㆦㆷ</t>
  </si>
  <si>
    <t>ㄍㆦㆷ</t>
  </si>
  <si>
    <t>ㆧㆷ</t>
  </si>
  <si>
    <t>ㄏㆧㆷ</t>
  </si>
  <si>
    <t>ㄉㆱ</t>
  </si>
  <si>
    <t>ㄙㆱ</t>
  </si>
  <si>
    <t>ㄏㆲ</t>
  </si>
  <si>
    <t>ㄅㆲ</t>
  </si>
  <si>
    <t>ㄆㆲ</t>
  </si>
  <si>
    <t>ㆠㆲ</t>
  </si>
  <si>
    <t>ㄉㆲ</t>
  </si>
  <si>
    <t>ㄊㆲ</t>
  </si>
  <si>
    <t>ㄌㆲ</t>
  </si>
  <si>
    <t>ㄗㆲ</t>
  </si>
  <si>
    <t>ㄘㆲ</t>
  </si>
  <si>
    <t>ㄙㆲ</t>
  </si>
  <si>
    <t>ㄍㆲ</t>
  </si>
  <si>
    <t>ㄎㆲ</t>
  </si>
  <si>
    <t>ㆣㆲ</t>
  </si>
  <si>
    <t>ㆦㆴ</t>
  </si>
  <si>
    <t>ㄏㆦㆴ</t>
  </si>
  <si>
    <t>ㄌㆦㆴ</t>
  </si>
  <si>
    <t>ㄍㆦㆴ</t>
  </si>
  <si>
    <t>ㆦㆻ</t>
  </si>
  <si>
    <t>ㄏㆦㆻ</t>
  </si>
  <si>
    <t>ㄅㆦㆻ</t>
  </si>
  <si>
    <t>ㄆㆦㆻ</t>
  </si>
  <si>
    <t>ㆠㆦㆻ</t>
  </si>
  <si>
    <t>ㄉㆦㆻ</t>
  </si>
  <si>
    <t>ㄊㆦㆻ</t>
  </si>
  <si>
    <t>ㄌㆦㆻ</t>
  </si>
  <si>
    <t>ㄗㆦㆻ</t>
  </si>
  <si>
    <t>ㄘㆦㆻ</t>
  </si>
  <si>
    <t>ㄙㆦㆻ</t>
  </si>
  <si>
    <t>ㄍㆦㆻ</t>
  </si>
  <si>
    <t>ㄎㆦㆻ</t>
  </si>
  <si>
    <t>ㆣㆦㆻ</t>
  </si>
  <si>
    <t>ㄏㄨ</t>
  </si>
  <si>
    <t>ㄅㄨ</t>
  </si>
  <si>
    <t>ㄆㄨ</t>
  </si>
  <si>
    <t>ㆠㄨ</t>
  </si>
  <si>
    <t>ㄉㄨ</t>
  </si>
  <si>
    <t>ㄊㄨ</t>
  </si>
  <si>
    <t>ㄌㄨ</t>
  </si>
  <si>
    <t>ㄗㄨ</t>
  </si>
  <si>
    <t>ㄘㄨ</t>
  </si>
  <si>
    <t>ㆡㄨ</t>
  </si>
  <si>
    <t>ㄙㄨ</t>
  </si>
  <si>
    <t>ㄍㄨ</t>
  </si>
  <si>
    <t>ㄎㄨ</t>
  </si>
  <si>
    <t>ㆣㄨ</t>
  </si>
  <si>
    <t>uʔ</t>
  </si>
  <si>
    <t>ㄨㆷ</t>
  </si>
  <si>
    <t>ㄅㄨㆷ</t>
  </si>
  <si>
    <t>ㄆㄨㆷ</t>
  </si>
  <si>
    <t>ㆠㄨㆷ</t>
  </si>
  <si>
    <t>ㄉㄨㆷ</t>
  </si>
  <si>
    <t>ㄊㄨㆷ</t>
  </si>
  <si>
    <t>ㄌㄨㆷ</t>
  </si>
  <si>
    <t>ㄗㄨㆷ</t>
  </si>
  <si>
    <t>ㄘㄨㆷ</t>
  </si>
  <si>
    <t>ㄙㄨㆷ</t>
  </si>
  <si>
    <t>ㄎㄨㆷ</t>
  </si>
  <si>
    <t>ㄏㄨㄣ</t>
  </si>
  <si>
    <t>ㄅㄨㄣ</t>
  </si>
  <si>
    <t>ㄆㄨㄣ</t>
  </si>
  <si>
    <t>ㆠㄨㄣ</t>
  </si>
  <si>
    <t>ㄉㄨㄣ</t>
  </si>
  <si>
    <t>ㄊㄨㄣ</t>
  </si>
  <si>
    <t>ㄌㄨㄣ</t>
  </si>
  <si>
    <t>ㄗㄨㄣ</t>
  </si>
  <si>
    <t>ㄘㄨㄣ</t>
  </si>
  <si>
    <t>ㆡㄨㄣ</t>
  </si>
  <si>
    <t>ㄙㄨㄣ</t>
  </si>
  <si>
    <t>ㄍㄨㄣ</t>
  </si>
  <si>
    <t>ㄎㄨㄣ</t>
  </si>
  <si>
    <t>ㆣㄨㄣ</t>
  </si>
  <si>
    <t>ut̚</t>
  </si>
  <si>
    <t>ㄨㆵ</t>
  </si>
  <si>
    <t>ㄏㄨㆵ</t>
  </si>
  <si>
    <t>ㄅㄨㆵ</t>
  </si>
  <si>
    <t>ㄆㄨㆵ</t>
  </si>
  <si>
    <t>ㆠㄨㆵ</t>
  </si>
  <si>
    <t>ㄉㄨㆵ</t>
  </si>
  <si>
    <t>ㄊㄨㆵ</t>
  </si>
  <si>
    <t>ㄌㄨㆵ</t>
  </si>
  <si>
    <t>ㄗㄨㆵ</t>
  </si>
  <si>
    <t>ㄘㄨㆵ</t>
  </si>
  <si>
    <t>ㄙㄨㆵ</t>
  </si>
  <si>
    <t>ㄍㄨㆵ</t>
  </si>
  <si>
    <t>ㄎㄨㆵ</t>
  </si>
  <si>
    <t>ㄏㄨㄚ</t>
  </si>
  <si>
    <t>ㄅㄨㄚ</t>
  </si>
  <si>
    <t>ㄆㄨㄚ</t>
  </si>
  <si>
    <t>ㆠㄨㄚ</t>
  </si>
  <si>
    <t>ㄇㄨㄚ</t>
  </si>
  <si>
    <t>ㄉㄨㄚ</t>
  </si>
  <si>
    <t>ㄊㄨㄚ</t>
  </si>
  <si>
    <t>ㄋㄨㄚ</t>
  </si>
  <si>
    <t>ㄌㄨㄚ</t>
  </si>
  <si>
    <t>ㄗㄨㄚ</t>
  </si>
  <si>
    <t>ㄘㄨㄚ</t>
  </si>
  <si>
    <t>ㆡㄨㄚ</t>
  </si>
  <si>
    <t>ㄙㄨㄚ</t>
  </si>
  <si>
    <t>ㄍㄨㄚ</t>
  </si>
  <si>
    <t>ㄎㄨㄚ</t>
  </si>
  <si>
    <t>ㆣㄨㄚ</t>
  </si>
  <si>
    <t>uã</t>
  </si>
  <si>
    <t>ㄏㄨㆩ</t>
  </si>
  <si>
    <t>ㄅㄨㆩ</t>
  </si>
  <si>
    <t>ㄆㄨㆩ</t>
  </si>
  <si>
    <t>ㄉㄨㆩ</t>
  </si>
  <si>
    <t>ㄊㄨㆩ</t>
  </si>
  <si>
    <t>ㄗㄨㆩ</t>
  </si>
  <si>
    <t>ㄘㄨㆩ</t>
  </si>
  <si>
    <t>ㄙㄨㆩ</t>
  </si>
  <si>
    <t>ㄍㄨㆩ</t>
  </si>
  <si>
    <t>ㄎㄨㆩ</t>
  </si>
  <si>
    <t>uaʔ</t>
  </si>
  <si>
    <t>ㄏㄨㄚㆷ</t>
  </si>
  <si>
    <t>ㄅㄨㄚㆷ</t>
  </si>
  <si>
    <t>ㄆㄨㄚㆷ</t>
  </si>
  <si>
    <t>ㆠㄨㄚㆷ</t>
  </si>
  <si>
    <t>ㄉㄨㄚㆷ</t>
  </si>
  <si>
    <t>ㄊㄨㄚㆷ</t>
  </si>
  <si>
    <t>ㄌㄨㄚㆷ</t>
  </si>
  <si>
    <t>ㄗㄨㄚㆷ</t>
  </si>
  <si>
    <t>ㄘㄨㄚㆷ</t>
  </si>
  <si>
    <t>ㆡㄨㄚㆷ</t>
  </si>
  <si>
    <t>ㄙㄨㄚㆷ</t>
  </si>
  <si>
    <t>ㄍㄨㄚㆷ</t>
  </si>
  <si>
    <t>ㄎㄨㄚㆷ</t>
  </si>
  <si>
    <t>ㄏㄨㄢ</t>
  </si>
  <si>
    <t>ㄅㄨㄢ</t>
  </si>
  <si>
    <t>ㄆㄨㄢ</t>
  </si>
  <si>
    <t>ㆠㄨㄢ</t>
  </si>
  <si>
    <t>ㄉㄨㄢ</t>
  </si>
  <si>
    <t>ㄊㄨㄢ</t>
  </si>
  <si>
    <t>ㄌㄨㄢ</t>
  </si>
  <si>
    <t>ㄗㄨㄢ</t>
  </si>
  <si>
    <t>ㄘㄨㄢ</t>
  </si>
  <si>
    <t>ㄙㄨㄢ</t>
  </si>
  <si>
    <t>ㄍㄨㄢ</t>
  </si>
  <si>
    <t>ㄎㄨㄢ</t>
  </si>
  <si>
    <t>ㆣㄨㄢ</t>
  </si>
  <si>
    <t>ㄏㄨㄤ</t>
  </si>
  <si>
    <t>ㄘㄨㄤ</t>
  </si>
  <si>
    <t>uat̚</t>
  </si>
  <si>
    <t>ㄨㄚㆵ</t>
  </si>
  <si>
    <t>ㄏㄨㄚㆵ</t>
  </si>
  <si>
    <t>ㄅㄨㄚㆵ</t>
  </si>
  <si>
    <t>ㄆㄨㄚㆵ</t>
  </si>
  <si>
    <t>ㆠㄨㄚㆵ</t>
  </si>
  <si>
    <t>ㄉㄨㄚㆵ</t>
  </si>
  <si>
    <t>ㄊㄨㄚㆵ</t>
  </si>
  <si>
    <t>ㄌㄨㄚㆵ</t>
  </si>
  <si>
    <t>ㄗㄨㄚㆵ</t>
  </si>
  <si>
    <t>ㄙㄨㄚㆵ</t>
  </si>
  <si>
    <t>ㄍㄨㄚㆵ</t>
  </si>
  <si>
    <t>ㄎㄨㄚㆵ</t>
  </si>
  <si>
    <t>ㆣㄨㄚㆵ</t>
  </si>
  <si>
    <t>ㄏㄨㄞ</t>
  </si>
  <si>
    <t>ㄙㄨㄞ</t>
  </si>
  <si>
    <t>ㄍㄨㄞ</t>
  </si>
  <si>
    <t>ㄎㄨㄞ</t>
  </si>
  <si>
    <t>uãi</t>
  </si>
  <si>
    <t>ㄏㄨㆮ</t>
  </si>
  <si>
    <t>ㄗㄨㆮ</t>
  </si>
  <si>
    <t>ㄙㄨㆮ</t>
  </si>
  <si>
    <t>ㄍㄨㆮ</t>
  </si>
  <si>
    <t>uaiʔ</t>
  </si>
  <si>
    <t>ㆠㄨㄞㆷ</t>
  </si>
  <si>
    <t>ㄌㄨㄞㆷ</t>
  </si>
  <si>
    <t>ㄘㄨㄞㆷ</t>
  </si>
  <si>
    <t>ㄍㄨㄞㆷ</t>
  </si>
  <si>
    <t>uãiʔ</t>
  </si>
  <si>
    <t>ㄍㄨㆮㆷ</t>
  </si>
  <si>
    <t>ㄏㄨㆤ</t>
  </si>
  <si>
    <t>ㄅㄨㆤ</t>
  </si>
  <si>
    <t>ㄆㄨㆤ</t>
  </si>
  <si>
    <t>ㆠㄨㆤ</t>
  </si>
  <si>
    <t>ㄇㄨㆤ</t>
  </si>
  <si>
    <t>ㄉㄨㆤ</t>
  </si>
  <si>
    <t>ㄊㄨㆤ</t>
  </si>
  <si>
    <t>ㄌㄨㆤ</t>
  </si>
  <si>
    <t>ㄗㄨㆤ</t>
  </si>
  <si>
    <t>ㄘㄨㆤ</t>
  </si>
  <si>
    <t>ㆡㄨㆤ</t>
  </si>
  <si>
    <t>ㄙㄨㆤ</t>
  </si>
  <si>
    <t>ㄍㄨㆤ</t>
  </si>
  <si>
    <t>ㄎㄨㆤ</t>
  </si>
  <si>
    <t>ㆣㄨㆤ</t>
  </si>
  <si>
    <t>ueʔ</t>
  </si>
  <si>
    <t>ㄨㆤㆷ</t>
  </si>
  <si>
    <t>ㄏㄨㆤㆷ</t>
  </si>
  <si>
    <t>ㄅㄨㆤㆷ</t>
  </si>
  <si>
    <t>ㄆㄨㆤㆷ</t>
  </si>
  <si>
    <t>ㆠㄨㆤㆷ</t>
  </si>
  <si>
    <t>ㄊㄨㆤㆷ</t>
  </si>
  <si>
    <t>ㄌㄨㆤㆷ</t>
  </si>
  <si>
    <t>ㄗㄨㆤㆷ</t>
  </si>
  <si>
    <t>ㄘㄨㆤㆷ</t>
  </si>
  <si>
    <t>ㄙㄨㆤㆷ</t>
  </si>
  <si>
    <t>ㄍㄨㆤㆷ</t>
  </si>
  <si>
    <t>ㄎㄨㆤㆷ</t>
  </si>
  <si>
    <t>ㆣㄨㆤㆷ</t>
  </si>
  <si>
    <t>ㄫㄨㆤㆷ</t>
  </si>
  <si>
    <t>ㄏㄨㄧ</t>
  </si>
  <si>
    <t>ㄅㄨㄧ</t>
  </si>
  <si>
    <t>ㄆㄨㄧ</t>
  </si>
  <si>
    <t>ㆠㄨㄧ</t>
  </si>
  <si>
    <t>ㄇㄨㄧ</t>
  </si>
  <si>
    <t>ㄉㄨㄧ</t>
  </si>
  <si>
    <t>ㄊㄨㄧ</t>
  </si>
  <si>
    <t>ㄌㄨㄧ</t>
  </si>
  <si>
    <t>ㄗㄨㄧ</t>
  </si>
  <si>
    <t>ㄘㄨㄧ</t>
  </si>
  <si>
    <t>ㄙㄨㄧ</t>
  </si>
  <si>
    <t>ㄍㄨㄧ</t>
  </si>
  <si>
    <t>ㄎㄨㄧ</t>
  </si>
  <si>
    <t>ㆣㄨㄧ</t>
  </si>
  <si>
    <t>uĩ</t>
  </si>
  <si>
    <t>ㄏㄨㆪ</t>
  </si>
  <si>
    <t>ㄅㄨㆪ</t>
  </si>
  <si>
    <t>ㄗㄨㆪ</t>
  </si>
  <si>
    <t>ㄘㄨㆪ</t>
  </si>
  <si>
    <t>ㄙㄨㆪ</t>
  </si>
  <si>
    <t>ㄍㄨㆪ</t>
  </si>
  <si>
    <t>uiʔ</t>
  </si>
  <si>
    <t>ㄏㄨㄧㆷ</t>
  </si>
  <si>
    <t>ㄍㄨㄧㆷ</t>
  </si>
  <si>
    <t>ㄏㆬ</t>
  </si>
  <si>
    <t>m̩ʔ</t>
  </si>
  <si>
    <t>ㆬㆷ</t>
  </si>
  <si>
    <t>ㄏㆬㆷ</t>
  </si>
  <si>
    <t>ㄏㆭ</t>
  </si>
  <si>
    <t>ㄅㆭ</t>
  </si>
  <si>
    <t>ㄇㆭ</t>
  </si>
  <si>
    <t>ㄉㆭ</t>
  </si>
  <si>
    <t>ㄊㆭ</t>
  </si>
  <si>
    <t>ㄋㆭ</t>
  </si>
  <si>
    <t>ㄗㆭ</t>
  </si>
  <si>
    <t>ㄘㆭ</t>
  </si>
  <si>
    <t>ㄙㆭ</t>
  </si>
  <si>
    <t>ㄍㆭ</t>
  </si>
  <si>
    <t>ㄎㆭ</t>
  </si>
  <si>
    <t>ㆭㆷ</t>
  </si>
  <si>
    <t>ㄏㆭㆷ</t>
  </si>
  <si>
    <t>ㄆㆭㆷ</t>
  </si>
  <si>
    <t>ㄇㆭㆷ</t>
  </si>
  <si>
    <t>ㄘㆭㆷ</t>
  </si>
  <si>
    <t>ㄙㆭㆷ</t>
  </si>
  <si>
    <t>ㄎㆭㆷ</t>
  </si>
  <si>
    <t>我真頇顢講話，但是我真實在。 ㆣㄨㄚˋ ㄐㄧㄣ ㄏㄢˊ ㆠㄢ˫ ㄍㆲˋ ㄨㆤ˫，ㄉㄢ˫ ㄒㄧ˫ ㆣㄨㄚˋ ㄐㄧㄣ ㄒㄧㆵ ㄗㄞ˫。</t>
  </si>
  <si>
    <t>請手扞予好勢，跤徛予在。 ㄑㄧㆩˋ ㄑㄧㄨˋ ㄏㄨㆩ˫ ㄏㆦ˫ ㄏㄜˋ ㄙㆤ˪，ㄎㄚ ㄎㄧㄚ˫ ㄏㆦ˫ ㄗㄞ˫。</t>
  </si>
  <si>
    <r>
      <rPr>
        <sz val="20"/>
        <color rgb="FF000000"/>
        <rFont val="新細明體"/>
        <family val="1"/>
        <charset val="136"/>
      </rPr>
      <t>範例</t>
    </r>
  </si>
  <si>
    <t>aɪ</t>
    <phoneticPr fontId="9" type="noConversion"/>
  </si>
  <si>
    <t>ãɪ</t>
    <phoneticPr fontId="9" type="noConversion"/>
  </si>
  <si>
    <t>aɪʔ</t>
    <phoneticPr fontId="9" type="noConversion"/>
  </si>
  <si>
    <t>ㄇㄠ</t>
    <phoneticPr fontId="9" type="noConversion"/>
  </si>
  <si>
    <t>aʔ</t>
    <phoneticPr fontId="9" type="noConversion"/>
  </si>
  <si>
    <t>ãʔ</t>
    <phoneticPr fontId="9" type="noConversion"/>
  </si>
  <si>
    <t>aŋ</t>
    <phoneticPr fontId="9" type="noConversion"/>
  </si>
  <si>
    <t>ɪa</t>
    <phoneticPr fontId="9" type="noConversion"/>
  </si>
  <si>
    <t>ɪaʔ</t>
    <phoneticPr fontId="9" type="noConversion"/>
  </si>
  <si>
    <t>ɪam</t>
    <phoneticPr fontId="9" type="noConversion"/>
  </si>
  <si>
    <t>ɪan/en</t>
    <phoneticPr fontId="9" type="noConversion"/>
  </si>
  <si>
    <t>ɪaŋ</t>
    <phoneticPr fontId="9" type="noConversion"/>
  </si>
  <si>
    <t>ɪap̚</t>
    <phoneticPr fontId="9" type="noConversion"/>
  </si>
  <si>
    <t>ɪat̚/ɪet̚</t>
    <phoneticPr fontId="9" type="noConversion"/>
  </si>
  <si>
    <t>ɪak̚</t>
    <phoneticPr fontId="9" type="noConversion"/>
  </si>
  <si>
    <t>ɪau</t>
    <phoneticPr fontId="9" type="noConversion"/>
  </si>
  <si>
    <t>ɪãu</t>
    <phoneticPr fontId="9" type="noConversion"/>
  </si>
  <si>
    <t>ɪauʔ</t>
    <phoneticPr fontId="9" type="noConversion"/>
  </si>
  <si>
    <t>ɪə/ɪo</t>
    <phoneticPr fontId="9" type="noConversion"/>
  </si>
  <si>
    <t>ɪɔ̃</t>
    <phoneticPr fontId="9" type="noConversion"/>
  </si>
  <si>
    <t>ɪəʔ/ɪoʔ</t>
    <phoneticPr fontId="9" type="noConversion"/>
  </si>
  <si>
    <t>ɪɔŋ</t>
    <phoneticPr fontId="9" type="noConversion"/>
  </si>
  <si>
    <t>ɪɔk̚</t>
    <phoneticPr fontId="9" type="noConversion"/>
  </si>
  <si>
    <t>əʔ/oʔ</t>
    <phoneticPr fontId="9" type="noConversion"/>
  </si>
  <si>
    <t>ɔʔ</t>
    <phoneticPr fontId="9" type="noConversion"/>
  </si>
  <si>
    <t>ɔ̃ʔ</t>
    <phoneticPr fontId="9" type="noConversion"/>
  </si>
  <si>
    <t>ɔm</t>
    <phoneticPr fontId="9" type="noConversion"/>
  </si>
  <si>
    <t>ɔp̚</t>
    <phoneticPr fontId="9" type="noConversion"/>
  </si>
  <si>
    <t>ɔk̚</t>
    <phoneticPr fontId="9" type="noConversion"/>
  </si>
  <si>
    <t>uaŋ</t>
    <phoneticPr fontId="9" type="noConversion"/>
  </si>
  <si>
    <t>ŋ̍ʔ</t>
    <phoneticPr fontId="9" type="noConversion"/>
  </si>
  <si>
    <r>
      <rPr>
        <sz val="22"/>
        <color rgb="FFFF0000"/>
        <rFont val="新細明體"/>
        <family val="1"/>
        <charset val="136"/>
      </rPr>
      <t>ŋ</t>
    </r>
  </si>
  <si>
    <r>
      <t>i</t>
    </r>
    <r>
      <rPr>
        <sz val="20"/>
        <color rgb="FFFF0000"/>
        <rFont val="Segoe UI"/>
        <family val="1"/>
        <charset val="238"/>
      </rPr>
      <t>ŋ</t>
    </r>
    <phoneticPr fontId="9" type="noConversion"/>
  </si>
  <si>
    <r>
      <t>ik̚/</t>
    </r>
    <r>
      <rPr>
        <sz val="20"/>
        <color rgb="FFFF0000"/>
        <rFont val="Tahoma"/>
        <family val="1"/>
        <charset val="1"/>
      </rPr>
      <t>ɪ</t>
    </r>
    <r>
      <rPr>
        <sz val="20"/>
        <color rgb="FFFF0000"/>
        <rFont val="Times New Roman"/>
        <family val="1"/>
      </rPr>
      <t>ək̚</t>
    </r>
    <phoneticPr fontId="9" type="noConversion"/>
  </si>
  <si>
    <t>ㄇ</t>
    <phoneticPr fontId="9" type="noConversion"/>
  </si>
  <si>
    <t>¹²³⁴⁵⁶⁷⁸⁰</t>
    <phoneticPr fontId="9" type="noConversion"/>
  </si>
  <si>
    <t>⁰ㄝ</t>
    <phoneticPr fontId="9" type="noConversion"/>
  </si>
  <si>
    <t>台語ㄅㄆㄇ</t>
    <phoneticPr fontId="9" type="noConversion"/>
  </si>
  <si>
    <t>ㄥ</t>
    <phoneticPr fontId="9" type="noConversion"/>
  </si>
  <si>
    <t>ㄦ</t>
    <phoneticPr fontId="9" type="noConversion"/>
  </si>
  <si>
    <t>ㄚㄇ</t>
    <phoneticPr fontId="9" type="noConversion"/>
  </si>
  <si>
    <t>ㄛㄥ</t>
    <phoneticPr fontId="9" type="noConversion"/>
  </si>
  <si>
    <t>ㄇ</t>
    <phoneticPr fontId="9" type="noConversion"/>
  </si>
  <si>
    <t>ˇ</t>
    <phoneticPr fontId="9" type="noConversion"/>
  </si>
  <si>
    <t>+</t>
    <phoneticPr fontId="9" type="noConversion"/>
  </si>
  <si>
    <t>台語ㄅㄆㄇ</t>
    <phoneticPr fontId="16" type="noConversion"/>
  </si>
  <si>
    <t>ㄖ</t>
  </si>
  <si>
    <t>我的注音符號</t>
    <phoneticPr fontId="9" type="noConversion"/>
  </si>
  <si>
    <t>ʨ</t>
  </si>
  <si>
    <t>ʨʰ</t>
  </si>
  <si>
    <t>ʥ</t>
  </si>
  <si>
    <t>ɕ</t>
  </si>
  <si>
    <t>ɑu</t>
    <phoneticPr fontId="9" type="noConversion"/>
  </si>
  <si>
    <t>序號</t>
    <phoneticPr fontId="9" type="noConversion"/>
  </si>
  <si>
    <t>按鍵</t>
    <phoneticPr fontId="9" type="noConversion"/>
  </si>
  <si>
    <t>陰平</t>
    <phoneticPr fontId="9" type="noConversion"/>
  </si>
  <si>
    <t>上声</t>
    <phoneticPr fontId="9" type="noConversion"/>
  </si>
  <si>
    <t>陰去</t>
    <phoneticPr fontId="9" type="noConversion"/>
  </si>
  <si>
    <t>陽平</t>
    <phoneticPr fontId="9" type="noConversion"/>
  </si>
  <si>
    <t>陽入</t>
    <phoneticPr fontId="9" type="noConversion"/>
  </si>
  <si>
    <t>去声</t>
    <phoneticPr fontId="9" type="noConversion"/>
  </si>
  <si>
    <t></t>
    <phoneticPr fontId="9" type="noConversion"/>
  </si>
  <si>
    <t>按鍵符號</t>
    <phoneticPr fontId="9" type="noConversion"/>
  </si>
  <si>
    <t>kb_taigi_bopomo</t>
    <phoneticPr fontId="9" type="noConversion"/>
  </si>
  <si>
    <t>Python Dict</t>
    <phoneticPr fontId="9" type="noConversion"/>
  </si>
  <si>
    <t>alphabet: '1q!a2wsxyhnbYHNBedEgcuj8ik,9lUJ*I&lt;(L-M0;Oomp/. 43657'</t>
    <phoneticPr fontId="9" type="noConversion"/>
  </si>
  <si>
    <t>xlit|pPbmtTnlzcjskKgwhiuaOoeyx@GRIUAQEYXVHWNMB123570|1q!a2wsxyhbnedEgcuj8ik,9l0;-UJ*I&lt;(LMo/pm. 43657|</t>
    <phoneticPr fontId="9" type="noConversion"/>
  </si>
  <si>
    <r>
      <t>"xlit|1q!a2wsxyhnbYHNBedEgcuj8ik,9lUJ*I&lt;(L-M0;Oomp/.|</t>
    </r>
    <r>
      <rPr>
        <b/>
        <sz val="12"/>
        <color rgb="FFFF0000"/>
        <rFont val="Microsoft JhengHei"/>
        <family val="2"/>
      </rPr>
      <t>ㄅㄆ</t>
    </r>
    <r>
      <rPr>
        <b/>
        <sz val="12"/>
        <color rgb="FFFF0000"/>
        <rFont val="Microsoft JhengHei"/>
        <family val="2"/>
        <charset val="136"/>
      </rPr>
      <t>ㆠ</t>
    </r>
    <r>
      <rPr>
        <b/>
        <sz val="12"/>
        <color rgb="FFFF0000"/>
        <rFont val="Microsoft JhengHei"/>
        <family val="2"/>
      </rPr>
      <t>ㄇㄉㄊㄋㄌㄗㄘㄙ</t>
    </r>
    <r>
      <rPr>
        <b/>
        <sz val="12"/>
        <color rgb="FFFF0000"/>
        <rFont val="Microsoft JhengHei"/>
        <family val="2"/>
        <charset val="136"/>
      </rPr>
      <t>ㆡ</t>
    </r>
    <r>
      <rPr>
        <b/>
        <sz val="12"/>
        <color rgb="FFFF0000"/>
        <rFont val="Microsoft JhengHei"/>
        <family val="2"/>
      </rPr>
      <t>ㄐㄑㄒ</t>
    </r>
    <r>
      <rPr>
        <b/>
        <sz val="12"/>
        <color rgb="FFFF0000"/>
        <rFont val="Microsoft JhengHei"/>
        <family val="2"/>
        <charset val="136"/>
      </rPr>
      <t>ㆢ</t>
    </r>
    <r>
      <rPr>
        <b/>
        <sz val="12"/>
        <color rgb="FFFF0000"/>
        <rFont val="Microsoft JhengHei"/>
        <family val="2"/>
      </rPr>
      <t>ㄍㄎ</t>
    </r>
    <r>
      <rPr>
        <b/>
        <sz val="12"/>
        <color rgb="FFFF0000"/>
        <rFont val="Microsoft JhengHei"/>
        <family val="2"/>
        <charset val="136"/>
      </rPr>
      <t>ㆣ</t>
    </r>
    <r>
      <rPr>
        <b/>
        <sz val="12"/>
        <color rgb="FFFF0000"/>
        <rFont val="Microsoft JhengHei"/>
        <family val="2"/>
      </rPr>
      <t>ㄫㄏㄧㄨㄚ</t>
    </r>
    <r>
      <rPr>
        <b/>
        <sz val="12"/>
        <color rgb="FFFF0000"/>
        <rFont val="Microsoft JhengHei"/>
        <family val="2"/>
        <charset val="136"/>
      </rPr>
      <t>ㆦ</t>
    </r>
    <r>
      <rPr>
        <b/>
        <sz val="12"/>
        <color rgb="FFFF0000"/>
        <rFont val="Microsoft JhengHei"/>
        <family val="2"/>
      </rPr>
      <t>ㄜ</t>
    </r>
    <r>
      <rPr>
        <b/>
        <sz val="12"/>
        <color rgb="FFFF0000"/>
        <rFont val="Microsoft JhengHei"/>
        <family val="2"/>
        <charset val="136"/>
      </rPr>
      <t>ㆤ</t>
    </r>
    <r>
      <rPr>
        <b/>
        <sz val="12"/>
        <color rgb="FFFF0000"/>
        <rFont val="Microsoft JhengHei"/>
        <family val="2"/>
      </rPr>
      <t>ㄞㄠ</t>
    </r>
    <r>
      <rPr>
        <b/>
        <sz val="12"/>
        <color rgb="FFFF0000"/>
        <rFont val="Microsoft JhengHei"/>
        <family val="2"/>
        <charset val="136"/>
      </rPr>
      <t>ㆪㆫㆩㆧㆥㆮㆯㆨㆰ</t>
    </r>
    <r>
      <rPr>
        <b/>
        <sz val="12"/>
        <color rgb="FFFF0000"/>
        <rFont val="Microsoft JhengHei"/>
        <family val="2"/>
      </rPr>
      <t>ㄢㄤ</t>
    </r>
    <r>
      <rPr>
        <b/>
        <sz val="12"/>
        <color rgb="FFFF0000"/>
        <rFont val="Microsoft JhengHei"/>
        <family val="2"/>
        <charset val="136"/>
      </rPr>
      <t>ㆱㆲㆬ</t>
    </r>
    <r>
      <rPr>
        <b/>
        <sz val="12"/>
        <color rgb="FFFF0000"/>
        <rFont val="Microsoft JhengHei"/>
        <family val="2"/>
      </rPr>
      <t>ㄣ</t>
    </r>
    <r>
      <rPr>
        <b/>
        <sz val="12"/>
        <color rgb="FFFF0000"/>
        <rFont val="Microsoft JhengHei"/>
        <family val="2"/>
        <charset val="136"/>
      </rPr>
      <t>ㆭ</t>
    </r>
    <r>
      <rPr>
        <b/>
        <sz val="12"/>
        <color rgb="FFFF0000"/>
        <rFont val="Microsoft JhengHei"/>
        <family val="2"/>
      </rPr>
      <t>ㄬ</t>
    </r>
    <r>
      <rPr>
        <b/>
        <sz val="12"/>
        <color rgb="FFFF0000"/>
        <rFont val="Arial"/>
        <family val="2"/>
      </rPr>
      <t>|"</t>
    </r>
    <phoneticPr fontId="9" type="noConversion"/>
  </si>
  <si>
    <t>台語音標編碼</t>
    <phoneticPr fontId="9" type="noConversion"/>
  </si>
  <si>
    <t>声調</t>
    <phoneticPr fontId="9" type="noConversion"/>
  </si>
  <si>
    <t>按鍵對映聲調符號</t>
  </si>
  <si>
    <t>按鍵對映聲調符號</t>
    <phoneticPr fontId="9" type="noConversion"/>
  </si>
  <si>
    <t>台語音標字母對映聲調符號</t>
    <phoneticPr fontId="9" type="noConversion"/>
  </si>
  <si>
    <t>陰平</t>
  </si>
  <si>
    <t># 陰平: 台羅調號【1】</t>
  </si>
  <si>
    <t># 陽平: 台羅調號【2】</t>
  </si>
  <si>
    <t># 陰去: 台羅調號【3】</t>
  </si>
  <si>
    <t>陽入</t>
  </si>
  <si>
    <t># 陽入: 台羅調號【5】</t>
  </si>
  <si>
    <t># 上声: 台羅調號【7】</t>
  </si>
  <si>
    <t>陽去</t>
    <phoneticPr fontId="9" type="noConversion"/>
  </si>
  <si>
    <t>陰去</t>
    <phoneticPr fontId="9" type="noConversion"/>
  </si>
  <si>
    <t># 陽去: 台羅調號【8】</t>
    <phoneticPr fontId="9" type="noConversion"/>
  </si>
  <si>
    <t># 陰去: 台羅調號【4】</t>
    <phoneticPr fontId="9" type="noConversion"/>
  </si>
  <si>
    <t>C</t>
    <phoneticPr fontId="9" type="noConversion"/>
  </si>
  <si>
    <t>r</t>
    <phoneticPr fontId="9" type="noConversion"/>
  </si>
  <si>
    <t>f</t>
    <phoneticPr fontId="9" type="noConversion"/>
  </si>
  <si>
    <t>v</t>
    <phoneticPr fontId="9" type="noConversion"/>
  </si>
  <si>
    <t xml:space="preserve">    "r" : { commit: "ㆴ" }</t>
  </si>
  <si>
    <t xml:space="preserve">    "f" : { commit: "ㆵ" }</t>
  </si>
  <si>
    <t xml:space="preserve">    "v" : { commit: "ㆻ" }</t>
  </si>
  <si>
    <t xml:space="preserve">    "C" : { commit: "ㆷ" }</t>
  </si>
  <si>
    <t>- xform/ /ˉ/</t>
  </si>
  <si>
    <t>- xform/4/ˋ/</t>
  </si>
  <si>
    <t>- xform/3/ˇ/</t>
  </si>
  <si>
    <t>- xform/6/ˊ/</t>
  </si>
  <si>
    <t>- xform/5/+/</t>
  </si>
  <si>
    <t>- xform/7/˙/</t>
  </si>
  <si>
    <t>- xform/1/ˉ/</t>
  </si>
  <si>
    <t>- xform/2/ˋ/</t>
  </si>
  <si>
    <t>- xform/5/ˊ/</t>
  </si>
  <si>
    <t>- xform/7/+/</t>
  </si>
  <si>
    <t>- xform/8/˙/</t>
  </si>
  <si>
    <t>- xform/4//</t>
  </si>
  <si>
    <t>音標拼音字母對映聲調符號</t>
    <phoneticPr fontId="9" type="noConversion"/>
  </si>
  <si>
    <t>UNICODE</t>
    <phoneticPr fontId="9" type="noConversion"/>
  </si>
  <si>
    <t>Hex Code</t>
    <phoneticPr fontId="9" type="noConversion"/>
  </si>
  <si>
    <t>Char</t>
    <phoneticPr fontId="9" type="noConversion"/>
  </si>
  <si>
    <t>ㆣ</t>
    <phoneticPr fontId="9" type="noConversion"/>
  </si>
  <si>
    <t>ㄬ</t>
    <phoneticPr fontId="9" type="noConversion"/>
  </si>
  <si>
    <t>˪</t>
    <phoneticPr fontId="9" type="noConversion"/>
  </si>
  <si>
    <t>ㄬ</t>
  </si>
  <si>
    <t>¹</t>
    <phoneticPr fontId="9" type="noConversion"/>
  </si>
  <si>
    <t>⁵</t>
    <phoneticPr fontId="9" type="noConversion"/>
  </si>
  <si>
    <t>²</t>
    <phoneticPr fontId="9" type="noConversion"/>
  </si>
  <si>
    <t>³</t>
    <phoneticPr fontId="9" type="noConversion"/>
  </si>
  <si>
    <t>⁷</t>
    <phoneticPr fontId="9" type="noConversion"/>
  </si>
  <si>
    <t>⁰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</si>
</sst>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General;;\(&quot;空&quot;&quot;白&quot;&quot;字&quot;&quot;元&quot;\)"/>
    <numFmt numFmtId="177" formatCode="General;;"/>
    <numFmt numFmtId="179" formatCode="&quot;[ &quot;@&quot; ]&quot;"/>
  </numFmts>
  <fonts count="188">
    <font>
      <sz val="16"/>
      <color rgb="FF000000"/>
      <name val="新細明體"/>
      <family val="1"/>
      <charset val="136"/>
      <scheme val="minor"/>
    </font>
    <font>
      <sz val="12"/>
      <name val="宋体"/>
      <family val="3"/>
      <charset val="136"/>
    </font>
    <font>
      <sz val="18"/>
      <color rgb="FFFF0000"/>
      <name val="Arial"/>
      <family val="2"/>
    </font>
    <font>
      <sz val="9"/>
      <name val="Noto Sans TC"/>
      <family val="2"/>
      <charset val="136"/>
    </font>
    <font>
      <sz val="9"/>
      <name val="BopomofoRuby1909-v1"/>
      <family val="3"/>
      <charset val="136"/>
    </font>
    <font>
      <sz val="18"/>
      <name val="宋体"/>
    </font>
    <font>
      <sz val="18"/>
      <name val="Noto Sans TC"/>
      <family val="2"/>
      <charset val="136"/>
    </font>
    <font>
      <sz val="18"/>
      <color rgb="FFFF0000"/>
      <name val="BopomofoRuby1909-v1"/>
      <family val="2"/>
      <charset val="136"/>
    </font>
    <font>
      <b/>
      <sz val="16"/>
      <color rgb="FFC00000"/>
      <name val="Noto Sans TC"/>
      <family val="2"/>
      <charset val="136"/>
    </font>
    <font>
      <sz val="9"/>
      <name val="新細明體"/>
      <family val="1"/>
      <charset val="136"/>
      <scheme val="minor"/>
    </font>
    <font>
      <sz val="24"/>
      <color rgb="FF000000"/>
      <name val="Iansui 094"/>
      <family val="3"/>
      <charset val="136"/>
    </font>
    <font>
      <sz val="10"/>
      <color rgb="FF000000"/>
      <name val="Noto Serif TC Medium"/>
      <family val="1"/>
      <charset val="136"/>
    </font>
    <font>
      <b/>
      <sz val="12"/>
      <color rgb="FFFF0000"/>
      <name val="Iansui 094"/>
      <family val="3"/>
      <charset val="136"/>
    </font>
    <font>
      <sz val="14"/>
      <name val="Noto Sans TC"/>
      <family val="2"/>
      <charset val="136"/>
    </font>
    <font>
      <sz val="14"/>
      <name val="Noto Sans TC"/>
      <family val="2"/>
    </font>
    <font>
      <b/>
      <sz val="12"/>
      <color rgb="FFFFFF00"/>
      <name val="Microsoft JhengHei"/>
      <family val="2"/>
      <charset val="136"/>
    </font>
    <font>
      <sz val="9"/>
      <name val="宋体"/>
    </font>
    <font>
      <sz val="16"/>
      <name val="LXGW WenKai"/>
      <family val="1"/>
      <charset val="136"/>
    </font>
    <font>
      <sz val="16"/>
      <color rgb="FF000000"/>
      <name val="LXGW WenKai"/>
      <family val="1"/>
      <charset val="136"/>
    </font>
    <font>
      <sz val="18"/>
      <name val="Noto Sans TC"/>
      <family val="2"/>
    </font>
    <font>
      <sz val="18"/>
      <color rgb="FF0070C0"/>
      <name val="Noto Serif TC SemiBold"/>
      <family val="1"/>
      <charset val="128"/>
    </font>
    <font>
      <sz val="18"/>
      <name val="Iansui 094"/>
      <family val="3"/>
      <charset val="136"/>
    </font>
    <font>
      <b/>
      <sz val="18"/>
      <color rgb="FFC00000"/>
      <name val="Noto Serif TC Medium"/>
      <family val="1"/>
      <charset val="136"/>
    </font>
    <font>
      <sz val="18"/>
      <name val="Noto Serif TC Medium"/>
      <family val="1"/>
      <charset val="136"/>
    </font>
    <font>
      <sz val="18"/>
      <color rgb="FFFF0000"/>
      <name val="Microsoft JhengHei UI"/>
      <family val="2"/>
      <charset val="136"/>
    </font>
    <font>
      <b/>
      <sz val="16"/>
      <color rgb="FFFF0000"/>
      <name val="Iansui 094"/>
      <family val="3"/>
      <charset val="136"/>
    </font>
    <font>
      <sz val="20"/>
      <name val="Iansui 094"/>
      <family val="3"/>
      <charset val="136"/>
    </font>
    <font>
      <sz val="18"/>
      <color rgb="FFFF0000"/>
      <name val="Iansui 094"/>
      <family val="3"/>
      <charset val="136"/>
    </font>
    <font>
      <b/>
      <sz val="18"/>
      <color rgb="FFFF0000"/>
      <name val="Iansui 094"/>
      <family val="3"/>
      <charset val="136"/>
    </font>
    <font>
      <b/>
      <sz val="18"/>
      <color rgb="FFFF0000"/>
      <name val="Noto Serif TC Medium"/>
      <family val="1"/>
      <charset val="136"/>
    </font>
    <font>
      <sz val="18"/>
      <color theme="8"/>
      <name val="Noto Serif TC Medium"/>
      <family val="1"/>
      <charset val="136"/>
    </font>
    <font>
      <b/>
      <sz val="24"/>
      <color rgb="FFFF0000"/>
      <name val="Iansui 094"/>
      <family val="3"/>
      <charset val="136"/>
    </font>
    <font>
      <sz val="18"/>
      <color rgb="FFFF0000"/>
      <name val="宋体"/>
    </font>
    <font>
      <sz val="18"/>
      <color rgb="FFFF0000"/>
      <name val="Noto Serif TC SemiBold"/>
      <family val="1"/>
      <charset val="128"/>
    </font>
    <font>
      <sz val="24"/>
      <color rgb="FFFF0000"/>
      <name val="Iansui 094"/>
      <family val="3"/>
      <charset val="136"/>
    </font>
    <font>
      <sz val="18"/>
      <color rgb="FFFF0000"/>
      <name val="Noto Serif TC Medium"/>
      <family val="1"/>
      <charset val="136"/>
    </font>
    <font>
      <sz val="18"/>
      <color rgb="FFFF0000"/>
      <name val="Microsoft JhengHei"/>
      <family val="2"/>
      <charset val="136"/>
    </font>
    <font>
      <sz val="18"/>
      <name val="Microsoft JhengHei"/>
      <family val="2"/>
      <charset val="136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sz val="16"/>
      <name val="Iansui 094"/>
      <family val="3"/>
      <charset val="136"/>
    </font>
    <font>
      <sz val="16"/>
      <color rgb="FF000000"/>
      <name val="Iansui 094"/>
      <family val="3"/>
      <charset val="136"/>
    </font>
    <font>
      <sz val="16"/>
      <name val="Noto Serif TC Medium"/>
      <family val="1"/>
      <charset val="136"/>
    </font>
    <font>
      <sz val="10"/>
      <color rgb="FF000000"/>
      <name val="Noto Serif TC Medium"/>
      <family val="1"/>
      <charset val="136"/>
    </font>
    <font>
      <sz val="10"/>
      <color rgb="FF000000"/>
      <name val="新細明體"/>
      <family val="1"/>
      <charset val="136"/>
      <scheme val="minor"/>
    </font>
    <font>
      <sz val="20"/>
      <color rgb="FF000000"/>
      <name val="新細明體"/>
      <family val="1"/>
      <charset val="136"/>
      <scheme val="minor"/>
    </font>
    <font>
      <sz val="16"/>
      <name val="Microsoft JhengHei"/>
      <family val="2"/>
      <charset val="136"/>
    </font>
    <font>
      <sz val="18"/>
      <color rgb="FF0070C0"/>
      <name val="新細明體"/>
      <family val="1"/>
      <charset val="136"/>
      <scheme val="minor"/>
    </font>
    <font>
      <sz val="18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20"/>
      <color rgb="FF000000"/>
      <name val="Arial"/>
      <family val="2"/>
    </font>
    <font>
      <sz val="20"/>
      <name val="宋体"/>
    </font>
    <font>
      <sz val="18"/>
      <color rgb="FF000000"/>
      <name val="Iansui 094"/>
      <family val="3"/>
      <charset val="136"/>
    </font>
    <font>
      <sz val="16"/>
      <color rgb="FF000000"/>
      <name val="Arial"/>
      <family val="2"/>
    </font>
    <font>
      <sz val="20"/>
      <color rgb="FF000000"/>
      <name val="Iansui 094"/>
      <family val="3"/>
      <charset val="136"/>
    </font>
    <font>
      <b/>
      <sz val="20"/>
      <color rgb="FF000000"/>
      <name val="宋体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</font>
    <font>
      <b/>
      <sz val="20"/>
      <color rgb="FF000000"/>
      <name val="Arial"/>
      <family val="2"/>
    </font>
    <font>
      <sz val="26"/>
      <color theme="7" tint="-0.249977111117893"/>
      <name val="KangXiZiDian.com 康熙字典體常用版"/>
      <charset val="136"/>
    </font>
    <font>
      <sz val="20"/>
      <color theme="4"/>
      <name val="Arial"/>
      <family val="2"/>
    </font>
    <font>
      <sz val="16"/>
      <color rgb="FFFF0000"/>
      <name val="KangXiZiDian.com 康熙字典體常用版"/>
      <charset val="136"/>
    </font>
    <font>
      <sz val="18"/>
      <name val="Arial"/>
      <family val="2"/>
    </font>
    <font>
      <sz val="20"/>
      <color rgb="FFFF0000"/>
      <name val="Iansui 094"/>
      <family val="3"/>
      <charset val="136"/>
    </font>
    <font>
      <sz val="18"/>
      <color rgb="FF0070C0"/>
      <name val="Arial"/>
      <family val="2"/>
    </font>
    <font>
      <sz val="18"/>
      <color rgb="FF0070C0"/>
      <name val="宋体"/>
    </font>
    <font>
      <sz val="18"/>
      <color rgb="FF0070C0"/>
      <name val="LXGW WenKai Mono"/>
      <family val="3"/>
      <charset val="136"/>
    </font>
    <font>
      <sz val="18"/>
      <color rgb="FF00B0F0"/>
      <name val="Arial"/>
      <family val="2"/>
    </font>
    <font>
      <b/>
      <sz val="18"/>
      <color theme="8" tint="0.39997558519241921"/>
      <name val="Arial"/>
      <family val="2"/>
    </font>
    <font>
      <sz val="18"/>
      <name val="LXGW WenKai Mono"/>
      <family val="3"/>
      <charset val="136"/>
    </font>
    <font>
      <sz val="20"/>
      <name val="Arial"/>
      <family val="2"/>
    </font>
    <font>
      <sz val="18"/>
      <color rgb="FFFFFF00"/>
      <name val="LXGW WenKai Mono"/>
      <family val="3"/>
      <charset val="136"/>
    </font>
    <font>
      <sz val="18"/>
      <color theme="0"/>
      <name val="LXGW WenKai Mono"/>
      <family val="3"/>
      <charset val="136"/>
    </font>
    <font>
      <sz val="24"/>
      <color rgb="FFFFFF00"/>
      <name val="Iansui 094"/>
      <family val="3"/>
      <charset val="136"/>
    </font>
    <font>
      <sz val="24"/>
      <color theme="0"/>
      <name val="Iansui 094"/>
      <family val="3"/>
      <charset val="136"/>
    </font>
    <font>
      <sz val="28"/>
      <color theme="8"/>
      <name val="Noto Serif TC Bold"/>
      <family val="2"/>
      <charset val="136"/>
    </font>
    <font>
      <sz val="28"/>
      <color theme="8"/>
      <name val="Microsoft JhengHei"/>
      <family val="2"/>
      <charset val="136"/>
    </font>
    <font>
      <sz val="28"/>
      <color theme="8"/>
      <name val="Calibri"/>
      <family val="2"/>
    </font>
    <font>
      <sz val="18"/>
      <color rgb="FF000000"/>
      <name val="SimSun"/>
      <charset val="134"/>
    </font>
    <font>
      <sz val="18"/>
      <color rgb="FF000000"/>
      <name val="BopomofoRuby1909-v1"/>
      <family val="3"/>
      <charset val="136"/>
    </font>
    <font>
      <b/>
      <sz val="18"/>
      <color rgb="FFFF0000"/>
      <name val="Microsoft JhengHei"/>
      <family val="2"/>
      <charset val="136"/>
    </font>
    <font>
      <sz val="18"/>
      <color rgb="FF444444"/>
      <name val="Arial"/>
      <family val="2"/>
    </font>
    <font>
      <sz val="18"/>
      <color rgb="FF000000"/>
      <name val="Arial"/>
      <family val="1"/>
    </font>
    <font>
      <sz val="28"/>
      <color theme="8"/>
      <name val="Noto Serif TC Bold"/>
      <family val="1"/>
      <charset val="136"/>
    </font>
    <font>
      <sz val="18"/>
      <color rgb="FF000000"/>
      <name val="Microsoft JhengHei"/>
      <family val="2"/>
      <charset val="136"/>
    </font>
    <font>
      <sz val="18"/>
      <color rgb="FF000000"/>
      <name val="PMingLiU"/>
      <family val="1"/>
      <charset val="136"/>
    </font>
    <font>
      <sz val="18"/>
      <color theme="0"/>
      <name val="Arial"/>
      <family val="2"/>
    </font>
    <font>
      <sz val="16"/>
      <color rgb="FFFF0000"/>
      <name val="Arial"/>
      <family val="2"/>
    </font>
    <font>
      <sz val="18"/>
      <name val="Times New Roman"/>
      <family val="1"/>
    </font>
    <font>
      <b/>
      <sz val="18"/>
      <color theme="5" tint="-0.249977111117893"/>
      <name val="Noto Serif TC Medium"/>
      <family val="1"/>
      <charset val="136"/>
    </font>
    <font>
      <b/>
      <sz val="24"/>
      <color theme="5" tint="-0.249977111117893"/>
      <name val="Iansui 094"/>
      <family val="3"/>
      <charset val="136"/>
    </font>
    <font>
      <b/>
      <sz val="18"/>
      <color theme="5" tint="-0.249977111117893"/>
      <name val="Times New Roman"/>
      <family val="1"/>
    </font>
    <font>
      <sz val="18"/>
      <color theme="7" tint="-0.499984740745262"/>
      <name val="Noto Serif TC Medium"/>
      <family val="1"/>
      <charset val="136"/>
    </font>
    <font>
      <sz val="24"/>
      <color theme="7" tint="-0.499984740745262"/>
      <name val="Iansui 094"/>
      <family val="3"/>
      <charset val="136"/>
    </font>
    <font>
      <sz val="18"/>
      <color theme="7" tint="-0.499984740745262"/>
      <name val="Times New Roman"/>
      <family val="1"/>
    </font>
    <font>
      <sz val="18"/>
      <color rgb="FFFF0000"/>
      <name val="Times New Roman"/>
      <family val="1"/>
    </font>
    <font>
      <sz val="12"/>
      <color rgb="FF000000"/>
      <name val="Noto Sans TC"/>
      <family val="2"/>
    </font>
    <font>
      <sz val="12"/>
      <name val="Noto Sans TC"/>
      <family val="2"/>
    </font>
    <font>
      <b/>
      <sz val="12"/>
      <color rgb="FFFF0000"/>
      <name val="Microsoft JhengHei"/>
      <family val="2"/>
    </font>
    <font>
      <b/>
      <sz val="12"/>
      <color rgb="FFFF0000"/>
      <name val="Microsoft JhengHei"/>
      <family val="2"/>
      <charset val="136"/>
    </font>
    <font>
      <b/>
      <sz val="18"/>
      <color rgb="FFFF0000"/>
      <name val="Noto Sans TC"/>
      <family val="2"/>
      <charset val="136"/>
    </font>
    <font>
      <sz val="18"/>
      <name val="細明體"/>
      <family val="3"/>
      <charset val="136"/>
    </font>
    <font>
      <b/>
      <sz val="12"/>
      <color rgb="FFFFFF00"/>
      <name val="Noto Sans TC"/>
      <family val="2"/>
    </font>
    <font>
      <sz val="14"/>
      <name val="Iansui 094"/>
      <family val="3"/>
      <charset val="136"/>
    </font>
    <font>
      <b/>
      <sz val="24"/>
      <color rgb="FFC00000"/>
      <name val="Iansui 094"/>
      <family val="3"/>
      <charset val="136"/>
    </font>
    <font>
      <b/>
      <sz val="18"/>
      <color rgb="FFC00000"/>
      <name val="Times New Roman"/>
      <family val="1"/>
    </font>
    <font>
      <b/>
      <sz val="10"/>
      <color theme="8" tint="-0.249977111117893"/>
      <name val="Arial"/>
      <family val="2"/>
    </font>
    <font>
      <b/>
      <sz val="14"/>
      <color rgb="FFFF0000"/>
      <name val="Iansui 094"/>
      <family val="3"/>
      <charset val="136"/>
    </font>
    <font>
      <b/>
      <sz val="10"/>
      <color rgb="FFFF0000"/>
      <name val="Iansui 094"/>
      <family val="3"/>
      <charset val="136"/>
    </font>
    <font>
      <u/>
      <sz val="16"/>
      <color theme="10"/>
      <name val="新細明體"/>
      <family val="1"/>
      <charset val="136"/>
      <scheme val="minor"/>
    </font>
    <font>
      <b/>
      <sz val="20"/>
      <color rgb="FFFF0000"/>
      <name val="芫荽 0.94"/>
      <family val="3"/>
      <charset val="136"/>
    </font>
    <font>
      <sz val="22"/>
      <color rgb="FF000000"/>
      <name val="芫荽 0.94"/>
      <family val="3"/>
      <charset val="136"/>
    </font>
    <font>
      <sz val="22"/>
      <color rgb="FFFF0000"/>
      <name val="芫荽 0.94"/>
      <family val="3"/>
      <charset val="136"/>
    </font>
    <font>
      <sz val="18"/>
      <name val="細明體"/>
      <family val="1"/>
      <charset val="136"/>
    </font>
    <font>
      <sz val="16"/>
      <color rgb="FF000000"/>
      <name val="芫荽 0.94"/>
      <family val="3"/>
      <charset val="136"/>
    </font>
    <font>
      <sz val="18"/>
      <name val="芫荽 0.94"/>
      <family val="3"/>
      <charset val="136"/>
    </font>
    <font>
      <sz val="24"/>
      <color theme="1"/>
      <name val="Iansui 094"/>
      <family val="3"/>
      <charset val="136"/>
    </font>
    <font>
      <sz val="20"/>
      <color rgb="FF000000"/>
      <name val="Times New Roman"/>
      <family val="1"/>
    </font>
    <font>
      <sz val="20"/>
      <color rgb="FF000000"/>
      <name val="新細明體"/>
      <family val="1"/>
      <charset val="136"/>
    </font>
    <font>
      <sz val="16"/>
      <color rgb="FF000000"/>
      <name val="新細明體"/>
      <family val="1"/>
      <scheme val="minor"/>
    </font>
    <font>
      <sz val="12"/>
      <color rgb="FF000000"/>
      <name val="新細明體"/>
      <family val="1"/>
      <scheme val="minor"/>
    </font>
    <font>
      <b/>
      <sz val="20"/>
      <color theme="8"/>
      <name val="Times New Roman"/>
      <family val="1"/>
    </font>
    <font>
      <b/>
      <sz val="20"/>
      <color theme="8"/>
      <name val="芫荽 0.94"/>
      <family val="3"/>
      <charset val="136"/>
    </font>
    <font>
      <sz val="16"/>
      <color theme="1"/>
      <name val="芫荽 0.94"/>
      <family val="3"/>
      <charset val="136"/>
    </font>
    <font>
      <b/>
      <sz val="20"/>
      <color theme="8"/>
      <name val="芫荽 0.94"/>
      <family val="1"/>
      <charset val="136"/>
    </font>
    <font>
      <sz val="20"/>
      <color rgb="FF000000"/>
      <name val="Noto Sans"/>
      <family val="2"/>
    </font>
    <font>
      <sz val="20"/>
      <color rgb="FF000000"/>
      <name val="Noto Sans"/>
      <family val="1"/>
      <charset val="136"/>
    </font>
    <font>
      <sz val="20"/>
      <color rgb="FF000000"/>
      <name val="Noto Sans"/>
      <family val="2"/>
      <charset val="136"/>
    </font>
    <font>
      <sz val="12"/>
      <name val="芫荽 0.94"/>
      <family val="3"/>
      <charset val="136"/>
    </font>
    <font>
      <b/>
      <sz val="20"/>
      <color theme="8"/>
      <name val="細明體"/>
      <family val="1"/>
      <charset val="136"/>
    </font>
    <font>
      <sz val="20"/>
      <name val="霞鶩文楷等寬 TC"/>
      <family val="3"/>
      <charset val="136"/>
    </font>
    <font>
      <sz val="18"/>
      <name val="霞鶩文楷等寬 TC"/>
      <family val="3"/>
      <charset val="136"/>
    </font>
    <font>
      <b/>
      <sz val="18"/>
      <color rgb="FFFF0000"/>
      <name val="霞鶩文楷等寬 TC"/>
      <family val="3"/>
      <charset val="136"/>
    </font>
    <font>
      <sz val="16"/>
      <name val="霞鶩文楷等寬 TC"/>
      <family val="3"/>
      <charset val="136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霞鶩文楷等寬 TC"/>
      <family val="3"/>
      <charset val="136"/>
    </font>
    <font>
      <b/>
      <sz val="18"/>
      <name val="霞鶩文楷等寬 TC"/>
      <family val="3"/>
      <charset val="136"/>
    </font>
    <font>
      <b/>
      <sz val="24"/>
      <color theme="7" tint="-0.249977111117893"/>
      <name val="芫荽 0.94"/>
      <family val="3"/>
      <charset val="136"/>
    </font>
    <font>
      <sz val="26"/>
      <color rgb="FFFF0000"/>
      <name val="芫荽 0.94"/>
      <family val="3"/>
      <charset val="136"/>
    </font>
    <font>
      <sz val="24"/>
      <name val="Noto Serif TC Medium"/>
      <family val="1"/>
      <charset val="136"/>
    </font>
    <font>
      <sz val="26"/>
      <color rgb="FF000000"/>
      <name val="Iansui 094"/>
      <family val="3"/>
      <charset val="136"/>
    </font>
    <font>
      <sz val="12"/>
      <name val="宋体"/>
    </font>
    <font>
      <sz val="36"/>
      <color rgb="FF000000"/>
      <name val="Times New Roman"/>
      <family val="1"/>
    </font>
    <font>
      <sz val="36"/>
      <color rgb="FF000000"/>
      <name val="Arial"/>
      <family val="2"/>
    </font>
    <font>
      <sz val="24"/>
      <color rgb="FF000000"/>
      <name val="霞鶩文楷 TC"/>
      <family val="1"/>
      <charset val="136"/>
    </font>
    <font>
      <b/>
      <sz val="24"/>
      <color rgb="FF000000"/>
      <name val="霞鶩文楷 TC"/>
      <family val="1"/>
      <charset val="136"/>
    </font>
    <font>
      <sz val="20"/>
      <color rgb="FFFF0000"/>
      <name val="Times New Roman"/>
      <family val="1"/>
    </font>
    <font>
      <sz val="20"/>
      <color theme="4" tint="-0.499984740745262"/>
      <name val="Times New Roman"/>
      <family val="1"/>
    </font>
    <font>
      <sz val="22"/>
      <color rgb="FFFF0000"/>
      <name val="Times New Roman"/>
      <family val="1"/>
    </font>
    <font>
      <sz val="22"/>
      <color rgb="FFFF0000"/>
      <name val="新細明體"/>
      <family val="1"/>
      <charset val="136"/>
    </font>
    <font>
      <sz val="20"/>
      <color rgb="FFFF0000"/>
      <name val="Segoe UI"/>
      <family val="1"/>
      <charset val="238"/>
    </font>
    <font>
      <sz val="20"/>
      <color rgb="FFFF0000"/>
      <name val="Tahoma"/>
      <family val="1"/>
      <charset val="1"/>
    </font>
    <font>
      <sz val="20"/>
      <color rgb="FF000000"/>
      <name val="霞鶩文楷 TC"/>
      <family val="1"/>
      <charset val="136"/>
    </font>
    <font>
      <sz val="16"/>
      <color rgb="FF000000"/>
      <name val="霞鶩文楷 TC"/>
      <family val="1"/>
      <charset val="136"/>
    </font>
    <font>
      <sz val="22"/>
      <name val="霞鶩文楷 TC"/>
      <family val="1"/>
      <charset val="136"/>
    </font>
    <font>
      <b/>
      <sz val="22"/>
      <color theme="5" tint="-0.249977111117893"/>
      <name val="霞鶩文楷 TC"/>
      <family val="1"/>
      <charset val="136"/>
    </font>
    <font>
      <sz val="22"/>
      <color theme="7" tint="-0.499984740745262"/>
      <name val="霞鶩文楷 TC"/>
      <family val="1"/>
      <charset val="136"/>
    </font>
    <font>
      <sz val="22"/>
      <color rgb="FFFF0000"/>
      <name val="霞鶩文楷 TC"/>
      <family val="1"/>
      <charset val="136"/>
    </font>
    <font>
      <b/>
      <sz val="22"/>
      <color rgb="FFC00000"/>
      <name val="霞鶩文楷 TC"/>
      <family val="1"/>
      <charset val="136"/>
    </font>
    <font>
      <sz val="18"/>
      <color rgb="FF0070C0"/>
      <name val="霞鶩文楷等寬 TC"/>
      <family val="3"/>
      <charset val="136"/>
    </font>
    <font>
      <sz val="18"/>
      <color rgb="FFC00000"/>
      <name val="霞鶩文楷等寬 TC"/>
      <family val="3"/>
      <charset val="136"/>
    </font>
    <font>
      <sz val="12"/>
      <color rgb="FFC00000"/>
      <name val="芫荽 0.94"/>
      <family val="3"/>
      <charset val="136"/>
    </font>
    <font>
      <sz val="22"/>
      <name val="微軟正黑體"/>
      <family val="1"/>
      <charset val="136"/>
    </font>
    <font>
      <sz val="12"/>
      <color rgb="FFFF0000"/>
      <name val="Noto Sans TC"/>
      <family val="2"/>
    </font>
    <font>
      <sz val="12"/>
      <color rgb="FF000000"/>
      <name val="Noto Sans TC"/>
      <family val="2"/>
      <charset val="136"/>
    </font>
    <font>
      <b/>
      <sz val="16"/>
      <color theme="3" tint="0.499984740745262"/>
      <name val="Times New Roman"/>
      <family val="1"/>
    </font>
    <font>
      <sz val="16"/>
      <color rgb="FFFF0000"/>
      <name val="霞鶩文楷 TC"/>
      <family val="1"/>
      <charset val="136"/>
    </font>
    <font>
      <b/>
      <sz val="16"/>
      <color rgb="FFFF0000"/>
      <name val="Times New Roman"/>
      <family val="1"/>
    </font>
    <font>
      <sz val="10"/>
      <color rgb="FFFF0000"/>
      <name val="芫荽 0.94"/>
      <family val="3"/>
      <charset val="136"/>
    </font>
    <font>
      <sz val="16"/>
      <color rgb="FFFF0000"/>
      <name val="Iansui 094"/>
      <family val="3"/>
      <charset val="136"/>
    </font>
    <font>
      <sz val="18"/>
      <name val="Courier New"/>
      <family val="3"/>
    </font>
    <font>
      <sz val="18"/>
      <color rgb="FFFF0000"/>
      <name val="Courier New"/>
      <family val="3"/>
    </font>
    <font>
      <b/>
      <sz val="16"/>
      <color rgb="FFFF0000"/>
      <name val="細明體"/>
      <family val="3"/>
      <charset val="136"/>
    </font>
    <font>
      <sz val="14"/>
      <name val="宋体"/>
    </font>
    <font>
      <sz val="18"/>
      <name val="霞鶩文楷 TC"/>
      <family val="1"/>
      <charset val="136"/>
    </font>
    <font>
      <sz val="18"/>
      <name val="霞鶩文楷 TC"/>
      <family val="1"/>
    </font>
    <font>
      <sz val="16"/>
      <color rgb="FF000000"/>
      <name val="霞鶩文楷等寬 TC"/>
      <family val="3"/>
      <charset val="136"/>
    </font>
    <font>
      <sz val="16"/>
      <color rgb="FFFF0000"/>
      <name val="霞鶩文楷等寬 TC"/>
      <family val="3"/>
      <charset val="136"/>
    </font>
    <font>
      <b/>
      <sz val="16"/>
      <color rgb="FFC00000"/>
      <name val="Noto Sans TC Medium"/>
      <family val="2"/>
      <charset val="136"/>
    </font>
    <font>
      <sz val="12"/>
      <color rgb="FF000000"/>
      <name val="新細明體"/>
      <family val="1"/>
      <charset val="136"/>
      <scheme val="minor"/>
    </font>
    <font>
      <sz val="14"/>
      <color theme="1"/>
      <name val="Courier New"/>
      <family val="3"/>
    </font>
    <font>
      <sz val="16"/>
      <color rgb="FF000000"/>
      <name val="Courier New"/>
      <family val="3"/>
    </font>
    <font>
      <b/>
      <sz val="14"/>
      <color rgb="FFFF0000"/>
      <name val="Courier New"/>
      <family val="3"/>
    </font>
    <font>
      <sz val="16"/>
      <color theme="3" tint="0.499984740745262"/>
      <name val="Arial"/>
      <family val="2"/>
    </font>
    <font>
      <sz val="18"/>
      <color rgb="FF000000"/>
      <name val="Times New Roman"/>
      <family val="1"/>
    </font>
    <font>
      <vertAlign val="superscript"/>
      <sz val="36"/>
      <color rgb="FFFF0000"/>
      <name val="Courier New"/>
      <family val="3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</borders>
  <cellStyleXfs count="5">
    <xf numFmtId="0" fontId="0" fillId="0" borderId="0"/>
    <xf numFmtId="0" fontId="1" fillId="0" borderId="0"/>
    <xf numFmtId="0" fontId="44" fillId="0" borderId="0"/>
    <xf numFmtId="0" fontId="110" fillId="0" borderId="0" applyNumberFormat="0" applyFill="0" applyBorder="0" applyAlignment="0" applyProtection="0"/>
    <xf numFmtId="0" fontId="143" fillId="0" borderId="0"/>
  </cellStyleXfs>
  <cellXfs count="471">
    <xf numFmtId="0" fontId="0" fillId="0" borderId="0" xfId="0"/>
    <xf numFmtId="0" fontId="2" fillId="0" borderId="0" xfId="1" applyFont="1"/>
    <xf numFmtId="0" fontId="5" fillId="0" borderId="0" xfId="1" applyFont="1"/>
    <xf numFmtId="0" fontId="6" fillId="0" borderId="0" xfId="1" applyFont="1" applyAlignment="1">
      <alignment horizontal="center"/>
    </xf>
    <xf numFmtId="0" fontId="6" fillId="0" borderId="0" xfId="1" applyFont="1"/>
    <xf numFmtId="0" fontId="5" fillId="0" borderId="0" xfId="1" applyFont="1" applyAlignment="1">
      <alignment horizontal="center"/>
    </xf>
    <xf numFmtId="0" fontId="7" fillId="0" borderId="0" xfId="1" applyFont="1"/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12" fillId="2" borderId="0" xfId="1" applyFont="1" applyFill="1"/>
    <xf numFmtId="0" fontId="13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15" fillId="0" borderId="0" xfId="1" applyFont="1" applyAlignment="1">
      <alignment horizontal="center"/>
    </xf>
    <xf numFmtId="0" fontId="17" fillId="3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9" fillId="9" borderId="0" xfId="1" applyFont="1" applyFill="1" applyAlignment="1">
      <alignment horizontal="center"/>
    </xf>
    <xf numFmtId="0" fontId="6" fillId="10" borderId="0" xfId="1" applyFont="1" applyFill="1" applyAlignment="1">
      <alignment horizontal="center"/>
    </xf>
    <xf numFmtId="0" fontId="20" fillId="0" borderId="0" xfId="1" applyFont="1" applyAlignment="1">
      <alignment horizontal="center"/>
    </xf>
    <xf numFmtId="0" fontId="21" fillId="0" borderId="0" xfId="1" applyFont="1" applyAlignment="1">
      <alignment horizontal="center"/>
    </xf>
    <xf numFmtId="0" fontId="22" fillId="2" borderId="3" xfId="0" applyFont="1" applyFill="1" applyBorder="1" applyAlignment="1">
      <alignment horizontal="left" vertical="center" indent="1"/>
    </xf>
    <xf numFmtId="0" fontId="10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indent="2"/>
    </xf>
    <xf numFmtId="0" fontId="23" fillId="6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4" fillId="2" borderId="0" xfId="1" applyFont="1" applyFill="1"/>
    <xf numFmtId="0" fontId="22" fillId="2" borderId="5" xfId="0" applyFont="1" applyFill="1" applyBorder="1" applyAlignment="1">
      <alignment horizontal="left" vertical="center" indent="1"/>
    </xf>
    <xf numFmtId="0" fontId="10" fillId="4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left" vertical="center" indent="2"/>
    </xf>
    <xf numFmtId="0" fontId="23" fillId="6" borderId="0" xfId="0" applyFont="1" applyFill="1" applyAlignment="1">
      <alignment horizontal="center" vertical="center"/>
    </xf>
    <xf numFmtId="0" fontId="23" fillId="7" borderId="4" xfId="0" applyFont="1" applyFill="1" applyBorder="1" applyAlignment="1">
      <alignment horizontal="center" vertical="center"/>
    </xf>
    <xf numFmtId="0" fontId="15" fillId="11" borderId="6" xfId="1" applyFont="1" applyFill="1" applyBorder="1" applyAlignment="1">
      <alignment horizontal="center"/>
    </xf>
    <xf numFmtId="0" fontId="26" fillId="0" borderId="0" xfId="1" applyFont="1" applyAlignment="1">
      <alignment horizontal="left"/>
    </xf>
    <xf numFmtId="0" fontId="5" fillId="0" borderId="0" xfId="1" applyFont="1" applyAlignment="1">
      <alignment horizontal="right" indent="1"/>
    </xf>
    <xf numFmtId="49" fontId="27" fillId="2" borderId="0" xfId="1" quotePrefix="1" applyNumberFormat="1" applyFont="1" applyFill="1" applyAlignment="1">
      <alignment horizontal="center" vertical="center"/>
    </xf>
    <xf numFmtId="0" fontId="21" fillId="0" borderId="0" xfId="1" applyFont="1"/>
    <xf numFmtId="0" fontId="22" fillId="2" borderId="7" xfId="0" applyFont="1" applyFill="1" applyBorder="1" applyAlignment="1">
      <alignment horizontal="left" vertical="center" indent="1"/>
    </xf>
    <xf numFmtId="0" fontId="10" fillId="4" borderId="8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left" vertical="center" indent="2"/>
    </xf>
    <xf numFmtId="0" fontId="23" fillId="6" borderId="8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/>
    </xf>
    <xf numFmtId="0" fontId="5" fillId="2" borderId="0" xfId="1" applyFont="1" applyFill="1"/>
    <xf numFmtId="0" fontId="28" fillId="0" borderId="0" xfId="1" applyFont="1"/>
    <xf numFmtId="0" fontId="28" fillId="0" borderId="0" xfId="1" applyFont="1" applyAlignment="1">
      <alignment horizontal="center" vertical="center"/>
    </xf>
    <xf numFmtId="0" fontId="21" fillId="12" borderId="0" xfId="1" applyFont="1" applyFill="1"/>
    <xf numFmtId="0" fontId="28" fillId="12" borderId="0" xfId="1" applyFont="1" applyFill="1"/>
    <xf numFmtId="0" fontId="27" fillId="2" borderId="0" xfId="1" applyFont="1" applyFill="1" applyAlignment="1">
      <alignment horizontal="center" vertical="center"/>
    </xf>
    <xf numFmtId="0" fontId="15" fillId="11" borderId="11" xfId="1" applyFont="1" applyFill="1" applyBorder="1" applyAlignment="1">
      <alignment horizontal="center"/>
    </xf>
    <xf numFmtId="0" fontId="5" fillId="0" borderId="0" xfId="1" applyFont="1" applyAlignment="1">
      <alignment horizontal="left"/>
    </xf>
    <xf numFmtId="0" fontId="22" fillId="2" borderId="12" xfId="0" applyFont="1" applyFill="1" applyBorder="1" applyAlignment="1">
      <alignment horizontal="left" vertical="center" indent="1"/>
    </xf>
    <xf numFmtId="0" fontId="10" fillId="4" borderId="13" xfId="0" applyFont="1" applyFill="1" applyBorder="1" applyAlignment="1">
      <alignment horizontal="center" vertical="center"/>
    </xf>
    <xf numFmtId="0" fontId="23" fillId="5" borderId="13" xfId="0" applyFont="1" applyFill="1" applyBorder="1" applyAlignment="1">
      <alignment horizontal="left" vertical="center" indent="2"/>
    </xf>
    <xf numFmtId="0" fontId="23" fillId="6" borderId="13" xfId="0" applyFont="1" applyFill="1" applyBorder="1" applyAlignment="1">
      <alignment horizontal="center" vertical="center"/>
    </xf>
    <xf numFmtId="0" fontId="23" fillId="7" borderId="14" xfId="0" applyFont="1" applyFill="1" applyBorder="1" applyAlignment="1">
      <alignment horizontal="center" vertical="center"/>
    </xf>
    <xf numFmtId="0" fontId="22" fillId="13" borderId="3" xfId="0" applyFont="1" applyFill="1" applyBorder="1" applyAlignment="1">
      <alignment horizontal="left" vertical="center" indent="1"/>
    </xf>
    <xf numFmtId="0" fontId="22" fillId="13" borderId="7" xfId="0" applyFont="1" applyFill="1" applyBorder="1" applyAlignment="1">
      <alignment horizontal="left" vertical="center" indent="1"/>
    </xf>
    <xf numFmtId="0" fontId="22" fillId="13" borderId="5" xfId="0" applyFont="1" applyFill="1" applyBorder="1" applyAlignment="1">
      <alignment horizontal="left" vertical="center" indent="1"/>
    </xf>
    <xf numFmtId="0" fontId="29" fillId="6" borderId="0" xfId="0" applyFont="1" applyFill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23" fillId="5" borderId="1" xfId="0" quotePrefix="1" applyFont="1" applyFill="1" applyBorder="1" applyAlignment="1">
      <alignment horizontal="left" vertical="center" indent="2"/>
    </xf>
    <xf numFmtId="0" fontId="23" fillId="5" borderId="0" xfId="0" quotePrefix="1" applyFont="1" applyFill="1" applyAlignment="1">
      <alignment horizontal="left" vertical="center" indent="2"/>
    </xf>
    <xf numFmtId="0" fontId="23" fillId="5" borderId="8" xfId="0" quotePrefix="1" applyFont="1" applyFill="1" applyBorder="1" applyAlignment="1">
      <alignment horizontal="left" vertical="center" indent="2"/>
    </xf>
    <xf numFmtId="0" fontId="21" fillId="5" borderId="8" xfId="0" quotePrefix="1" applyFont="1" applyFill="1" applyBorder="1" applyAlignment="1">
      <alignment horizontal="center" vertical="center"/>
    </xf>
    <xf numFmtId="0" fontId="30" fillId="2" borderId="0" xfId="0" applyFont="1" applyFill="1" applyAlignment="1">
      <alignment horizontal="left" vertical="center" indent="1"/>
    </xf>
    <xf numFmtId="0" fontId="31" fillId="4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0" fillId="2" borderId="8" xfId="0" applyFont="1" applyFill="1" applyBorder="1" applyAlignment="1">
      <alignment horizontal="left" vertical="center" indent="1"/>
    </xf>
    <xf numFmtId="0" fontId="23" fillId="7" borderId="8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left" vertical="center" indent="1"/>
    </xf>
    <xf numFmtId="0" fontId="30" fillId="2" borderId="5" xfId="0" applyFont="1" applyFill="1" applyBorder="1" applyAlignment="1">
      <alignment horizontal="left" vertical="center" indent="1"/>
    </xf>
    <xf numFmtId="0" fontId="30" fillId="2" borderId="7" xfId="0" applyFont="1" applyFill="1" applyBorder="1" applyAlignment="1">
      <alignment horizontal="left" vertical="center" indent="1"/>
    </xf>
    <xf numFmtId="0" fontId="30" fillId="13" borderId="5" xfId="0" applyFont="1" applyFill="1" applyBorder="1" applyAlignment="1">
      <alignment horizontal="left" vertical="center" indent="1"/>
    </xf>
    <xf numFmtId="0" fontId="30" fillId="13" borderId="7" xfId="0" applyFont="1" applyFill="1" applyBorder="1" applyAlignment="1">
      <alignment horizontal="left" vertical="center" indent="1"/>
    </xf>
    <xf numFmtId="0" fontId="32" fillId="2" borderId="0" xfId="1" applyFont="1" applyFill="1" applyAlignment="1">
      <alignment horizontal="center"/>
    </xf>
    <xf numFmtId="0" fontId="33" fillId="2" borderId="0" xfId="1" applyFont="1" applyFill="1" applyAlignment="1">
      <alignment horizontal="center"/>
    </xf>
    <xf numFmtId="0" fontId="27" fillId="2" borderId="0" xfId="1" applyFont="1" applyFill="1" applyAlignment="1">
      <alignment horizontal="center"/>
    </xf>
    <xf numFmtId="0" fontId="30" fillId="13" borderId="12" xfId="0" applyFont="1" applyFill="1" applyBorder="1" applyAlignment="1">
      <alignment horizontal="left" vertical="center" indent="1"/>
    </xf>
    <xf numFmtId="0" fontId="34" fillId="4" borderId="13" xfId="0" applyFont="1" applyFill="1" applyBorder="1" applyAlignment="1">
      <alignment horizontal="center" vertical="center"/>
    </xf>
    <xf numFmtId="0" fontId="35" fillId="5" borderId="13" xfId="0" applyFont="1" applyFill="1" applyBorder="1" applyAlignment="1">
      <alignment horizontal="left" vertical="center" indent="2"/>
    </xf>
    <xf numFmtId="176" fontId="36" fillId="6" borderId="13" xfId="0" applyNumberFormat="1" applyFont="1" applyFill="1" applyBorder="1" applyAlignment="1">
      <alignment horizontal="center" vertical="center"/>
    </xf>
    <xf numFmtId="0" fontId="36" fillId="7" borderId="14" xfId="0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left" vertical="center" indent="1"/>
    </xf>
    <xf numFmtId="0" fontId="37" fillId="0" borderId="0" xfId="1" applyFont="1"/>
    <xf numFmtId="0" fontId="30" fillId="2" borderId="12" xfId="0" applyFont="1" applyFill="1" applyBorder="1" applyAlignment="1">
      <alignment horizontal="left" vertical="center" indent="1"/>
    </xf>
    <xf numFmtId="0" fontId="5" fillId="0" borderId="0" xfId="1" applyFont="1" applyAlignment="1">
      <alignment horizontal="right"/>
    </xf>
    <xf numFmtId="0" fontId="38" fillId="0" borderId="0" xfId="1" applyFont="1"/>
    <xf numFmtId="0" fontId="39" fillId="0" borderId="0" xfId="1" applyFont="1"/>
    <xf numFmtId="0" fontId="27" fillId="2" borderId="0" xfId="1" applyFont="1" applyFill="1"/>
    <xf numFmtId="0" fontId="30" fillId="13" borderId="0" xfId="0" applyFont="1" applyFill="1" applyAlignment="1">
      <alignment horizontal="left" vertical="center" indent="1"/>
    </xf>
    <xf numFmtId="0" fontId="23" fillId="5" borderId="0" xfId="0" applyFont="1" applyFill="1" applyAlignment="1">
      <alignment horizontal="left" vertical="center" indent="3"/>
    </xf>
    <xf numFmtId="0" fontId="23" fillId="7" borderId="1" xfId="0" applyFont="1" applyFill="1" applyBorder="1" applyAlignment="1">
      <alignment horizontal="center" vertical="center"/>
    </xf>
    <xf numFmtId="0" fontId="23" fillId="5" borderId="0" xfId="0" quotePrefix="1" applyFont="1" applyFill="1" applyAlignment="1">
      <alignment horizontal="left" vertical="center" indent="3"/>
    </xf>
    <xf numFmtId="0" fontId="19" fillId="8" borderId="0" xfId="1" applyFont="1" applyFill="1" applyAlignment="1">
      <alignment horizontal="center"/>
    </xf>
    <xf numFmtId="0" fontId="25" fillId="2" borderId="0" xfId="1" applyFont="1" applyFill="1"/>
    <xf numFmtId="0" fontId="43" fillId="0" borderId="0" xfId="0" applyFont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0" fontId="44" fillId="0" borderId="0" xfId="2"/>
    <xf numFmtId="0" fontId="45" fillId="0" borderId="0" xfId="2" applyFont="1"/>
    <xf numFmtId="0" fontId="47" fillId="0" borderId="0" xfId="2" applyFont="1"/>
    <xf numFmtId="0" fontId="48" fillId="0" borderId="0" xfId="2" applyFont="1"/>
    <xf numFmtId="0" fontId="49" fillId="0" borderId="0" xfId="2" applyFont="1"/>
    <xf numFmtId="0" fontId="23" fillId="7" borderId="0" xfId="0" quotePrefix="1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1" fillId="0" borderId="0" xfId="2" applyFont="1" applyAlignment="1">
      <alignment horizontal="center"/>
    </xf>
    <xf numFmtId="0" fontId="51" fillId="0" borderId="0" xfId="2" applyFont="1"/>
    <xf numFmtId="0" fontId="44" fillId="0" borderId="0" xfId="2" applyAlignment="1">
      <alignment horizontal="left" vertical="center"/>
    </xf>
    <xf numFmtId="0" fontId="52" fillId="0" borderId="0" xfId="2" applyFont="1"/>
    <xf numFmtId="0" fontId="53" fillId="0" borderId="0" xfId="0" applyFont="1"/>
    <xf numFmtId="0" fontId="54" fillId="0" borderId="0" xfId="0" applyFont="1"/>
    <xf numFmtId="0" fontId="55" fillId="0" borderId="0" xfId="2" applyFont="1" applyAlignment="1">
      <alignment horizontal="center"/>
    </xf>
    <xf numFmtId="0" fontId="58" fillId="0" borderId="0" xfId="2" applyFont="1"/>
    <xf numFmtId="0" fontId="5" fillId="0" borderId="0" xfId="1" applyFont="1" applyAlignment="1">
      <alignment horizontal="left" vertical="center"/>
    </xf>
    <xf numFmtId="0" fontId="50" fillId="0" borderId="0" xfId="2" applyFont="1"/>
    <xf numFmtId="0" fontId="54" fillId="0" borderId="0" xfId="2" applyFont="1"/>
    <xf numFmtId="0" fontId="56" fillId="6" borderId="0" xfId="2" applyFont="1" applyFill="1" applyAlignment="1">
      <alignment horizontal="center"/>
    </xf>
    <xf numFmtId="0" fontId="59" fillId="6" borderId="21" xfId="2" applyFont="1" applyFill="1" applyBorder="1" applyAlignment="1">
      <alignment horizontal="center"/>
    </xf>
    <xf numFmtId="0" fontId="56" fillId="14" borderId="20" xfId="2" applyFont="1" applyFill="1" applyBorder="1" applyAlignment="1">
      <alignment horizontal="center"/>
    </xf>
    <xf numFmtId="0" fontId="56" fillId="14" borderId="0" xfId="2" applyFont="1" applyFill="1" applyAlignment="1">
      <alignment horizontal="center"/>
    </xf>
    <xf numFmtId="0" fontId="56" fillId="14" borderId="21" xfId="2" applyFont="1" applyFill="1" applyBorder="1" applyAlignment="1">
      <alignment horizontal="center"/>
    </xf>
    <xf numFmtId="9" fontId="56" fillId="14" borderId="20" xfId="2" applyNumberFormat="1" applyFont="1" applyFill="1" applyBorder="1" applyAlignment="1">
      <alignment horizontal="center"/>
    </xf>
    <xf numFmtId="9" fontId="56" fillId="14" borderId="0" xfId="2" applyNumberFormat="1" applyFont="1" applyFill="1" applyAlignment="1">
      <alignment horizontal="center"/>
    </xf>
    <xf numFmtId="9" fontId="56" fillId="14" borderId="21" xfId="2" applyNumberFormat="1" applyFont="1" applyFill="1" applyBorder="1" applyAlignment="1">
      <alignment horizontal="center"/>
    </xf>
    <xf numFmtId="0" fontId="56" fillId="7" borderId="0" xfId="2" applyFont="1" applyFill="1" applyAlignment="1">
      <alignment horizontal="center"/>
    </xf>
    <xf numFmtId="177" fontId="59" fillId="7" borderId="21" xfId="2" applyNumberFormat="1" applyFont="1" applyFill="1" applyBorder="1" applyAlignment="1">
      <alignment horizontal="center"/>
    </xf>
    <xf numFmtId="0" fontId="1" fillId="0" borderId="0" xfId="2" applyFont="1" applyAlignment="1">
      <alignment horizontal="center" vertical="center"/>
    </xf>
    <xf numFmtId="177" fontId="60" fillId="6" borderId="23" xfId="2" applyNumberFormat="1" applyFont="1" applyFill="1" applyBorder="1" applyAlignment="1">
      <alignment vertical="center"/>
    </xf>
    <xf numFmtId="0" fontId="61" fillId="6" borderId="24" xfId="2" applyFont="1" applyFill="1" applyBorder="1" applyAlignment="1">
      <alignment horizontal="center" vertical="center" wrapText="1"/>
    </xf>
    <xf numFmtId="0" fontId="62" fillId="14" borderId="24" xfId="2" applyFont="1" applyFill="1" applyBorder="1" applyAlignment="1">
      <alignment vertical="center"/>
    </xf>
    <xf numFmtId="177" fontId="60" fillId="7" borderId="23" xfId="2" applyNumberFormat="1" applyFont="1" applyFill="1" applyBorder="1" applyAlignment="1">
      <alignment vertical="center"/>
    </xf>
    <xf numFmtId="177" fontId="61" fillId="7" borderId="24" xfId="2" applyNumberFormat="1" applyFont="1" applyFill="1" applyBorder="1" applyAlignment="1">
      <alignment horizontal="center" vertical="center"/>
    </xf>
    <xf numFmtId="0" fontId="63" fillId="0" borderId="0" xfId="1" applyFont="1"/>
    <xf numFmtId="0" fontId="52" fillId="2" borderId="0" xfId="2" applyFont="1" applyFill="1"/>
    <xf numFmtId="0" fontId="64" fillId="0" borderId="0" xfId="0" applyFont="1"/>
    <xf numFmtId="0" fontId="56" fillId="0" borderId="0" xfId="2" applyFont="1" applyAlignment="1">
      <alignment horizontal="center"/>
    </xf>
    <xf numFmtId="0" fontId="65" fillId="0" borderId="0" xfId="2" applyFont="1"/>
    <xf numFmtId="0" fontId="66" fillId="0" borderId="0" xfId="2" applyFont="1" applyAlignment="1">
      <alignment horizontal="center" vertical="center"/>
    </xf>
    <xf numFmtId="0" fontId="67" fillId="3" borderId="12" xfId="2" applyFont="1" applyFill="1" applyBorder="1" applyAlignment="1">
      <alignment vertical="center"/>
    </xf>
    <xf numFmtId="0" fontId="67" fillId="3" borderId="14" xfId="2" applyFont="1" applyFill="1" applyBorder="1" applyAlignment="1">
      <alignment vertical="center"/>
    </xf>
    <xf numFmtId="0" fontId="68" fillId="13" borderId="16" xfId="2" applyFont="1" applyFill="1" applyBorder="1" applyAlignment="1">
      <alignment horizontal="center" vertical="center"/>
    </xf>
    <xf numFmtId="0" fontId="2" fillId="13" borderId="16" xfId="2" applyFont="1" applyFill="1" applyBorder="1" applyAlignment="1">
      <alignment horizontal="center" vertical="center"/>
    </xf>
    <xf numFmtId="0" fontId="69" fillId="13" borderId="16" xfId="2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70" fillId="7" borderId="12" xfId="2" applyFont="1" applyFill="1" applyBorder="1" applyAlignment="1">
      <alignment vertical="center"/>
    </xf>
    <xf numFmtId="0" fontId="70" fillId="7" borderId="14" xfId="2" applyFont="1" applyFill="1" applyBorder="1" applyAlignment="1">
      <alignment vertical="center"/>
    </xf>
    <xf numFmtId="0" fontId="71" fillId="7" borderId="16" xfId="2" applyFont="1" applyFill="1" applyBorder="1" applyAlignment="1">
      <alignment horizontal="center" vertical="center"/>
    </xf>
    <xf numFmtId="0" fontId="70" fillId="16" borderId="12" xfId="2" applyFont="1" applyFill="1" applyBorder="1" applyAlignment="1">
      <alignment vertical="center"/>
    </xf>
    <xf numFmtId="0" fontId="70" fillId="16" borderId="14" xfId="2" applyFont="1" applyFill="1" applyBorder="1" applyAlignment="1">
      <alignment vertical="center"/>
    </xf>
    <xf numFmtId="0" fontId="71" fillId="16" borderId="16" xfId="2" applyFont="1" applyFill="1" applyBorder="1" applyAlignment="1">
      <alignment horizontal="center" vertical="center"/>
    </xf>
    <xf numFmtId="0" fontId="70" fillId="5" borderId="12" xfId="2" applyFont="1" applyFill="1" applyBorder="1" applyAlignment="1">
      <alignment vertical="center"/>
    </xf>
    <xf numFmtId="0" fontId="70" fillId="5" borderId="14" xfId="2" applyFont="1" applyFill="1" applyBorder="1" applyAlignment="1">
      <alignment vertical="center"/>
    </xf>
    <xf numFmtId="0" fontId="71" fillId="5" borderId="16" xfId="2" applyFont="1" applyFill="1" applyBorder="1" applyAlignment="1">
      <alignment horizontal="center" vertical="center"/>
    </xf>
    <xf numFmtId="0" fontId="49" fillId="0" borderId="0" xfId="2" applyFont="1" applyAlignment="1">
      <alignment vertical="center"/>
    </xf>
    <xf numFmtId="0" fontId="76" fillId="0" borderId="0" xfId="1" applyFont="1"/>
    <xf numFmtId="0" fontId="49" fillId="0" borderId="0" xfId="1" applyFont="1"/>
    <xf numFmtId="0" fontId="49" fillId="0" borderId="0" xfId="1" applyFont="1" applyAlignment="1">
      <alignment vertical="center"/>
    </xf>
    <xf numFmtId="0" fontId="81" fillId="0" borderId="0" xfId="1" applyFont="1" applyAlignment="1">
      <alignment vertical="center"/>
    </xf>
    <xf numFmtId="0" fontId="79" fillId="17" borderId="0" xfId="2" applyFont="1" applyFill="1" applyAlignment="1">
      <alignment vertical="center"/>
    </xf>
    <xf numFmtId="0" fontId="49" fillId="17" borderId="0" xfId="2" applyFont="1" applyFill="1" applyAlignment="1">
      <alignment vertical="center"/>
    </xf>
    <xf numFmtId="0" fontId="82" fillId="17" borderId="0" xfId="2" applyFont="1" applyFill="1" applyAlignment="1">
      <alignment vertical="center"/>
    </xf>
    <xf numFmtId="0" fontId="83" fillId="18" borderId="0" xfId="2" applyFont="1" applyFill="1" applyAlignment="1">
      <alignment vertical="center"/>
    </xf>
    <xf numFmtId="0" fontId="49" fillId="18" borderId="0" xfId="2" applyFont="1" applyFill="1" applyAlignment="1">
      <alignment vertical="center"/>
    </xf>
    <xf numFmtId="0" fontId="82" fillId="18" borderId="0" xfId="2" applyFont="1" applyFill="1" applyAlignment="1">
      <alignment vertical="center"/>
    </xf>
    <xf numFmtId="0" fontId="49" fillId="19" borderId="0" xfId="2" applyFont="1" applyFill="1" applyAlignment="1">
      <alignment vertical="center"/>
    </xf>
    <xf numFmtId="0" fontId="49" fillId="19" borderId="0" xfId="2" applyFont="1" applyFill="1"/>
    <xf numFmtId="0" fontId="27" fillId="2" borderId="0" xfId="1" applyFont="1" applyFill="1" applyAlignment="1">
      <alignment vertical="center"/>
    </xf>
    <xf numFmtId="0" fontId="49" fillId="2" borderId="0" xfId="1" applyFont="1" applyFill="1" applyAlignment="1">
      <alignment vertical="center"/>
    </xf>
    <xf numFmtId="0" fontId="27" fillId="19" borderId="0" xfId="1" applyFont="1" applyFill="1" applyAlignment="1">
      <alignment vertical="center"/>
    </xf>
    <xf numFmtId="0" fontId="49" fillId="19" borderId="0" xfId="1" applyFont="1" applyFill="1" applyAlignment="1">
      <alignment vertical="center"/>
    </xf>
    <xf numFmtId="0" fontId="76" fillId="0" borderId="0" xfId="1" applyFont="1" applyAlignment="1">
      <alignment vertical="center"/>
    </xf>
    <xf numFmtId="0" fontId="86" fillId="18" borderId="0" xfId="1" applyFont="1" applyFill="1" applyAlignment="1">
      <alignment vertical="center"/>
    </xf>
    <xf numFmtId="0" fontId="49" fillId="18" borderId="0" xfId="1" applyFont="1" applyFill="1" applyAlignment="1">
      <alignment horizontal="center" vertical="center"/>
    </xf>
    <xf numFmtId="0" fontId="49" fillId="18" borderId="0" xfId="1" applyFont="1" applyFill="1" applyAlignment="1">
      <alignment vertical="center"/>
    </xf>
    <xf numFmtId="0" fontId="87" fillId="15" borderId="0" xfId="1" applyFont="1" applyFill="1" applyAlignment="1">
      <alignment vertical="center"/>
    </xf>
    <xf numFmtId="0" fontId="87" fillId="15" borderId="0" xfId="1" applyFont="1" applyFill="1" applyAlignment="1">
      <alignment horizontal="center" vertical="center"/>
    </xf>
    <xf numFmtId="0" fontId="49" fillId="0" borderId="0" xfId="2" applyFont="1" applyAlignment="1">
      <alignment horizontal="center" vertical="center"/>
    </xf>
    <xf numFmtId="0" fontId="2" fillId="2" borderId="0" xfId="1" applyFont="1" applyFill="1" applyAlignment="1">
      <alignment vertical="center"/>
    </xf>
    <xf numFmtId="0" fontId="49" fillId="2" borderId="0" xfId="2" applyFont="1" applyFill="1"/>
    <xf numFmtId="0" fontId="44" fillId="0" borderId="0" xfId="2" applyAlignment="1">
      <alignment vertical="center"/>
    </xf>
    <xf numFmtId="0" fontId="72" fillId="20" borderId="12" xfId="2" applyFont="1" applyFill="1" applyBorder="1" applyAlignment="1">
      <alignment vertical="center"/>
    </xf>
    <xf numFmtId="0" fontId="73" fillId="20" borderId="14" xfId="2" applyFont="1" applyFill="1" applyBorder="1" applyAlignment="1">
      <alignment vertical="center"/>
    </xf>
    <xf numFmtId="0" fontId="74" fillId="20" borderId="16" xfId="2" applyFont="1" applyFill="1" applyBorder="1" applyAlignment="1">
      <alignment horizontal="center" vertical="center"/>
    </xf>
    <xf numFmtId="0" fontId="73" fillId="20" borderId="12" xfId="2" applyFont="1" applyFill="1" applyBorder="1" applyAlignment="1">
      <alignment vertical="center"/>
    </xf>
    <xf numFmtId="0" fontId="72" fillId="20" borderId="14" xfId="2" applyFont="1" applyFill="1" applyBorder="1" applyAlignment="1">
      <alignment vertical="center"/>
    </xf>
    <xf numFmtId="0" fontId="75" fillId="20" borderId="16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89" fillId="6" borderId="0" xfId="0" applyFont="1" applyFill="1" applyAlignment="1">
      <alignment horizontal="center" vertical="center"/>
    </xf>
    <xf numFmtId="0" fontId="98" fillId="7" borderId="15" xfId="0" applyFont="1" applyFill="1" applyBorder="1" applyAlignment="1">
      <alignment horizontal="center" vertical="center"/>
    </xf>
    <xf numFmtId="0" fontId="97" fillId="4" borderId="15" xfId="0" applyFont="1" applyFill="1" applyBorder="1" applyAlignment="1">
      <alignment horizontal="center" vertical="center"/>
    </xf>
    <xf numFmtId="0" fontId="98" fillId="6" borderId="15" xfId="0" applyFont="1" applyFill="1" applyBorder="1" applyAlignment="1">
      <alignment horizontal="center" vertical="center"/>
    </xf>
    <xf numFmtId="0" fontId="53" fillId="21" borderId="0" xfId="0" applyFont="1" applyFill="1"/>
    <xf numFmtId="0" fontId="0" fillId="0" borderId="0" xfId="0" quotePrefix="1" applyAlignment="1">
      <alignment horizontal="center" vertical="center"/>
    </xf>
    <xf numFmtId="0" fontId="28" fillId="12" borderId="0" xfId="1" applyFont="1" applyFill="1" applyAlignment="1">
      <alignment horizontal="center" vertical="center"/>
    </xf>
    <xf numFmtId="0" fontId="5" fillId="0" borderId="0" xfId="1" applyFont="1" applyAlignment="1">
      <alignment horizontal="left" vertical="center" indent="1"/>
    </xf>
    <xf numFmtId="0" fontId="38" fillId="2" borderId="0" xfId="1" quotePrefix="1" applyFont="1" applyFill="1"/>
    <xf numFmtId="0" fontId="63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0" xfId="1" applyFont="1" applyAlignment="1">
      <alignment horizontal="left" vertical="center" indent="1"/>
    </xf>
    <xf numFmtId="0" fontId="101" fillId="8" borderId="0" xfId="1" applyFont="1" applyFill="1" applyAlignment="1">
      <alignment horizontal="center"/>
    </xf>
    <xf numFmtId="0" fontId="101" fillId="9" borderId="0" xfId="1" applyFont="1" applyFill="1" applyAlignment="1">
      <alignment horizontal="center"/>
    </xf>
    <xf numFmtId="0" fontId="40" fillId="12" borderId="0" xfId="1" applyFont="1" applyFill="1"/>
    <xf numFmtId="0" fontId="18" fillId="0" borderId="0" xfId="0" applyFont="1" applyAlignment="1">
      <alignment horizontal="center" vertical="center"/>
    </xf>
    <xf numFmtId="0" fontId="103" fillId="0" borderId="0" xfId="1" applyFont="1" applyAlignment="1">
      <alignment horizontal="center" vertical="center"/>
    </xf>
    <xf numFmtId="0" fontId="5" fillId="0" borderId="0" xfId="1" applyFont="1" applyAlignment="1">
      <alignment vertical="center"/>
    </xf>
    <xf numFmtId="0" fontId="24" fillId="2" borderId="0" xfId="1" applyFont="1" applyFill="1" applyAlignment="1">
      <alignment vertical="center"/>
    </xf>
    <xf numFmtId="0" fontId="15" fillId="11" borderId="6" xfId="1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 vertical="center"/>
    </xf>
    <xf numFmtId="0" fontId="26" fillId="0" borderId="0" xfId="1" applyFont="1" applyAlignment="1">
      <alignment horizontal="left" vertical="center"/>
    </xf>
    <xf numFmtId="0" fontId="15" fillId="11" borderId="11" xfId="1" applyFont="1" applyFill="1" applyBorder="1" applyAlignment="1">
      <alignment horizontal="center" vertical="center"/>
    </xf>
    <xf numFmtId="0" fontId="104" fillId="0" borderId="0" xfId="1" applyFont="1" applyAlignment="1">
      <alignment horizontal="left"/>
    </xf>
    <xf numFmtId="0" fontId="102" fillId="0" borderId="0" xfId="1" applyFont="1" applyAlignment="1">
      <alignment vertical="center"/>
    </xf>
    <xf numFmtId="0" fontId="102" fillId="0" borderId="0" xfId="1" applyFont="1" applyAlignment="1">
      <alignment horizontal="left" vertical="center" indent="1"/>
    </xf>
    <xf numFmtId="0" fontId="89" fillId="5" borderId="0" xfId="0" applyFont="1" applyFill="1" applyAlignment="1">
      <alignment horizontal="left" vertical="center" indent="1"/>
    </xf>
    <xf numFmtId="0" fontId="5" fillId="21" borderId="0" xfId="1" applyFont="1" applyFill="1"/>
    <xf numFmtId="0" fontId="63" fillId="0" borderId="0" xfId="1" applyFont="1" applyAlignment="1" applyProtection="1">
      <alignment vertical="center"/>
      <protection locked="0"/>
    </xf>
    <xf numFmtId="0" fontId="103" fillId="11" borderId="10" xfId="1" applyFont="1" applyFill="1" applyBorder="1" applyAlignment="1">
      <alignment horizontal="center" vertical="center"/>
    </xf>
    <xf numFmtId="0" fontId="103" fillId="11" borderId="6" xfId="1" applyFont="1" applyFill="1" applyBorder="1" applyAlignment="1">
      <alignment horizontal="center" vertical="center"/>
    </xf>
    <xf numFmtId="0" fontId="103" fillId="11" borderId="11" xfId="1" applyFont="1" applyFill="1" applyBorder="1" applyAlignment="1">
      <alignment horizontal="center" vertical="center"/>
    </xf>
    <xf numFmtId="0" fontId="63" fillId="0" borderId="10" xfId="1" applyFont="1" applyBorder="1" applyAlignment="1">
      <alignment horizontal="center" vertical="center"/>
    </xf>
    <xf numFmtId="0" fontId="20" fillId="0" borderId="11" xfId="1" applyFont="1" applyBorder="1" applyAlignment="1">
      <alignment horizontal="left" vertical="center" indent="1"/>
    </xf>
    <xf numFmtId="0" fontId="63" fillId="22" borderId="10" xfId="1" applyFont="1" applyFill="1" applyBorder="1" applyAlignment="1">
      <alignment horizontal="center" vertical="center"/>
    </xf>
    <xf numFmtId="0" fontId="20" fillId="22" borderId="11" xfId="1" applyFont="1" applyFill="1" applyBorder="1" applyAlignment="1">
      <alignment horizontal="left" vertical="center" indent="1"/>
    </xf>
    <xf numFmtId="0" fontId="108" fillId="2" borderId="0" xfId="1" applyFont="1" applyFill="1"/>
    <xf numFmtId="0" fontId="38" fillId="2" borderId="0" xfId="1" applyFont="1" applyFill="1"/>
    <xf numFmtId="0" fontId="109" fillId="2" borderId="0" xfId="1" applyFont="1" applyFill="1"/>
    <xf numFmtId="0" fontId="5" fillId="2" borderId="0" xfId="1" applyFont="1" applyFill="1" applyAlignment="1">
      <alignment horizontal="center" vertical="center"/>
    </xf>
    <xf numFmtId="49" fontId="27" fillId="17" borderId="0" xfId="1" quotePrefix="1" applyNumberFormat="1" applyFont="1" applyFill="1" applyAlignment="1">
      <alignment horizontal="center" vertical="center"/>
    </xf>
    <xf numFmtId="0" fontId="27" fillId="17" borderId="0" xfId="1" applyFont="1" applyFill="1" applyAlignment="1">
      <alignment horizontal="center" vertical="center"/>
    </xf>
    <xf numFmtId="0" fontId="102" fillId="0" borderId="0" xfId="1" applyFont="1" applyAlignment="1">
      <alignment horizontal="center" vertical="center"/>
    </xf>
    <xf numFmtId="0" fontId="110" fillId="2" borderId="0" xfId="3" quotePrefix="1" applyFill="1"/>
    <xf numFmtId="0" fontId="111" fillId="5" borderId="0" xfId="0" applyFont="1" applyFill="1" applyAlignment="1">
      <alignment horizontal="center" vertical="center"/>
    </xf>
    <xf numFmtId="0" fontId="89" fillId="0" borderId="0" xfId="1" applyFont="1" applyAlignment="1">
      <alignment vertical="center"/>
    </xf>
    <xf numFmtId="0" fontId="115" fillId="0" borderId="0" xfId="0" applyFont="1" applyAlignment="1">
      <alignment horizontal="center"/>
    </xf>
    <xf numFmtId="0" fontId="45" fillId="0" borderId="0" xfId="0" applyFont="1"/>
    <xf numFmtId="0" fontId="45" fillId="0" borderId="14" xfId="0" applyFont="1" applyBorder="1"/>
    <xf numFmtId="0" fontId="45" fillId="0" borderId="9" xfId="0" applyFont="1" applyBorder="1"/>
    <xf numFmtId="0" fontId="45" fillId="0" borderId="2" xfId="0" applyFont="1" applyBorder="1"/>
    <xf numFmtId="0" fontId="45" fillId="0" borderId="9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/>
    </xf>
    <xf numFmtId="0" fontId="45" fillId="0" borderId="16" xfId="0" applyFont="1" applyBorder="1" applyAlignment="1">
      <alignment horizontal="left" indent="1"/>
    </xf>
    <xf numFmtId="0" fontId="45" fillId="0" borderId="12" xfId="0" applyFont="1" applyBorder="1" applyAlignment="1">
      <alignment horizontal="left" indent="1"/>
    </xf>
    <xf numFmtId="0" fontId="45" fillId="0" borderId="26" xfId="0" applyFont="1" applyBorder="1" applyAlignment="1">
      <alignment horizontal="left" indent="1"/>
    </xf>
    <xf numFmtId="0" fontId="45" fillId="0" borderId="3" xfId="0" applyFont="1" applyBorder="1" applyAlignment="1">
      <alignment horizontal="left" indent="1"/>
    </xf>
    <xf numFmtId="0" fontId="45" fillId="0" borderId="16" xfId="0" applyFont="1" applyBorder="1" applyAlignment="1">
      <alignment horizontal="left" indent="3"/>
    </xf>
    <xf numFmtId="0" fontId="45" fillId="0" borderId="12" xfId="0" applyFont="1" applyBorder="1" applyAlignment="1">
      <alignment horizontal="left" indent="3"/>
    </xf>
    <xf numFmtId="0" fontId="45" fillId="0" borderId="26" xfId="0" applyFont="1" applyBorder="1" applyAlignment="1">
      <alignment horizontal="left" indent="3"/>
    </xf>
    <xf numFmtId="0" fontId="45" fillId="0" borderId="3" xfId="0" applyFont="1" applyBorder="1" applyAlignment="1">
      <alignment horizontal="left" indent="3"/>
    </xf>
    <xf numFmtId="0" fontId="45" fillId="0" borderId="14" xfId="0" quotePrefix="1" applyFont="1" applyBorder="1" applyAlignment="1">
      <alignment horizontal="right"/>
    </xf>
    <xf numFmtId="0" fontId="45" fillId="0" borderId="2" xfId="0" quotePrefix="1" applyFont="1" applyBorder="1" applyAlignment="1">
      <alignment horizontal="right"/>
    </xf>
    <xf numFmtId="0" fontId="98" fillId="3" borderId="0" xfId="0" applyFont="1" applyFill="1" applyAlignment="1">
      <alignment horizontal="center" vertical="center"/>
    </xf>
    <xf numFmtId="0" fontId="98" fillId="7" borderId="0" xfId="0" applyFont="1" applyFill="1" applyAlignment="1">
      <alignment horizontal="center" vertical="center"/>
    </xf>
    <xf numFmtId="0" fontId="98" fillId="6" borderId="0" xfId="0" applyFont="1" applyFill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89" fillId="6" borderId="1" xfId="0" applyFont="1" applyFill="1" applyBorder="1" applyAlignment="1">
      <alignment horizontal="center" vertical="center"/>
    </xf>
    <xf numFmtId="0" fontId="111" fillId="5" borderId="1" xfId="0" applyFont="1" applyFill="1" applyBorder="1" applyAlignment="1">
      <alignment horizontal="center" vertical="center"/>
    </xf>
    <xf numFmtId="0" fontId="89" fillId="5" borderId="2" xfId="0" applyFont="1" applyFill="1" applyBorder="1" applyAlignment="1">
      <alignment horizontal="left" vertical="center" indent="1"/>
    </xf>
    <xf numFmtId="0" fontId="89" fillId="5" borderId="4" xfId="0" applyFont="1" applyFill="1" applyBorder="1" applyAlignment="1">
      <alignment horizontal="left" vertical="center" indent="1"/>
    </xf>
    <xf numFmtId="0" fontId="89" fillId="6" borderId="8" xfId="0" applyFont="1" applyFill="1" applyBorder="1" applyAlignment="1">
      <alignment horizontal="center" vertical="center"/>
    </xf>
    <xf numFmtId="0" fontId="111" fillId="5" borderId="8" xfId="0" applyFont="1" applyFill="1" applyBorder="1" applyAlignment="1">
      <alignment horizontal="center" vertical="center"/>
    </xf>
    <xf numFmtId="0" fontId="89" fillId="5" borderId="9" xfId="0" applyFont="1" applyFill="1" applyBorder="1" applyAlignment="1">
      <alignment horizontal="left" vertical="center" indent="1"/>
    </xf>
    <xf numFmtId="0" fontId="121" fillId="0" borderId="9" xfId="0" applyFont="1" applyBorder="1" applyAlignment="1">
      <alignment horizontal="center" vertical="center"/>
    </xf>
    <xf numFmtId="0" fontId="121" fillId="0" borderId="25" xfId="0" applyFont="1" applyBorder="1" applyAlignment="1">
      <alignment horizontal="center" vertical="center" wrapText="1"/>
    </xf>
    <xf numFmtId="0" fontId="121" fillId="0" borderId="25" xfId="0" applyFont="1" applyBorder="1" applyAlignment="1">
      <alignment horizontal="center" vertical="center"/>
    </xf>
    <xf numFmtId="0" fontId="121" fillId="0" borderId="7" xfId="0" applyFont="1" applyBorder="1" applyAlignment="1">
      <alignment horizontal="center" vertical="center"/>
    </xf>
    <xf numFmtId="0" fontId="120" fillId="0" borderId="16" xfId="0" applyFont="1" applyBorder="1" applyAlignment="1">
      <alignment horizontal="left" vertical="center"/>
    </xf>
    <xf numFmtId="0" fontId="120" fillId="0" borderId="12" xfId="0" applyFont="1" applyBorder="1" applyAlignment="1">
      <alignment horizontal="left" vertical="center"/>
    </xf>
    <xf numFmtId="0" fontId="120" fillId="0" borderId="26" xfId="0" applyFont="1" applyBorder="1" applyAlignment="1">
      <alignment horizontal="left" vertical="center"/>
    </xf>
    <xf numFmtId="0" fontId="120" fillId="0" borderId="3" xfId="0" applyFont="1" applyBorder="1" applyAlignment="1">
      <alignment horizontal="left" vertical="center"/>
    </xf>
    <xf numFmtId="0" fontId="120" fillId="0" borderId="14" xfId="0" applyFont="1" applyBorder="1" applyAlignment="1">
      <alignment horizontal="left" vertical="center"/>
    </xf>
    <xf numFmtId="0" fontId="120" fillId="0" borderId="2" xfId="0" applyFont="1" applyBorder="1" applyAlignment="1">
      <alignment horizontal="left" vertical="center"/>
    </xf>
    <xf numFmtId="0" fontId="90" fillId="7" borderId="1" xfId="0" applyFont="1" applyFill="1" applyBorder="1" applyAlignment="1">
      <alignment horizontal="center" vertical="center"/>
    </xf>
    <xf numFmtId="0" fontId="92" fillId="6" borderId="1" xfId="0" applyFont="1" applyFill="1" applyBorder="1" applyAlignment="1">
      <alignment horizontal="center" vertical="center"/>
    </xf>
    <xf numFmtId="0" fontId="91" fillId="4" borderId="1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left" vertical="center" indent="1"/>
    </xf>
    <xf numFmtId="0" fontId="90" fillId="7" borderId="0" xfId="0" applyFont="1" applyFill="1" applyAlignment="1">
      <alignment horizontal="center" vertical="center"/>
    </xf>
    <xf numFmtId="0" fontId="92" fillId="6" borderId="0" xfId="0" applyFont="1" applyFill="1" applyAlignment="1">
      <alignment horizontal="center" vertical="center"/>
    </xf>
    <xf numFmtId="0" fontId="91" fillId="4" borderId="0" xfId="0" applyFont="1" applyFill="1" applyAlignment="1">
      <alignment horizontal="center" vertical="center"/>
    </xf>
    <xf numFmtId="0" fontId="92" fillId="5" borderId="4" xfId="0" applyFont="1" applyFill="1" applyBorder="1" applyAlignment="1">
      <alignment horizontal="left" vertical="center" indent="1"/>
    </xf>
    <xf numFmtId="0" fontId="90" fillId="7" borderId="8" xfId="0" applyFont="1" applyFill="1" applyBorder="1" applyAlignment="1">
      <alignment horizontal="center" vertical="center"/>
    </xf>
    <xf numFmtId="0" fontId="92" fillId="6" borderId="8" xfId="0" applyFont="1" applyFill="1" applyBorder="1" applyAlignment="1">
      <alignment horizontal="center" vertical="center"/>
    </xf>
    <xf numFmtId="0" fontId="91" fillId="4" borderId="8" xfId="0" applyFont="1" applyFill="1" applyBorder="1" applyAlignment="1">
      <alignment horizontal="center" vertical="center"/>
    </xf>
    <xf numFmtId="0" fontId="92" fillId="5" borderId="9" xfId="0" applyFont="1" applyFill="1" applyBorder="1" applyAlignment="1">
      <alignment horizontal="left" vertical="center" indent="1"/>
    </xf>
    <xf numFmtId="0" fontId="122" fillId="5" borderId="1" xfId="0" applyFont="1" applyFill="1" applyBorder="1" applyAlignment="1">
      <alignment horizontal="left" vertical="center" indent="2"/>
    </xf>
    <xf numFmtId="0" fontId="122" fillId="5" borderId="0" xfId="0" applyFont="1" applyFill="1" applyAlignment="1">
      <alignment horizontal="left" vertical="center" indent="2"/>
    </xf>
    <xf numFmtId="0" fontId="122" fillId="5" borderId="8" xfId="0" applyFont="1" applyFill="1" applyBorder="1" applyAlignment="1">
      <alignment horizontal="left" vertical="center" indent="2"/>
    </xf>
    <xf numFmtId="0" fontId="122" fillId="5" borderId="1" xfId="0" applyFont="1" applyFill="1" applyBorder="1" applyAlignment="1">
      <alignment horizontal="center" vertical="center"/>
    </xf>
    <xf numFmtId="0" fontId="122" fillId="5" borderId="8" xfId="0" applyFont="1" applyFill="1" applyBorder="1" applyAlignment="1">
      <alignment horizontal="center" vertical="center"/>
    </xf>
    <xf numFmtId="0" fontId="122" fillId="5" borderId="0" xfId="0" applyFont="1" applyFill="1" applyAlignment="1">
      <alignment horizontal="center" vertical="center"/>
    </xf>
    <xf numFmtId="0" fontId="116" fillId="0" borderId="0" xfId="1" applyFont="1" applyAlignment="1">
      <alignment vertical="center"/>
    </xf>
    <xf numFmtId="0" fontId="115" fillId="0" borderId="0" xfId="0" applyFont="1" applyAlignment="1">
      <alignment horizontal="center" vertical="center"/>
    </xf>
    <xf numFmtId="0" fontId="116" fillId="0" borderId="0" xfId="1" applyFont="1" applyAlignment="1">
      <alignment horizontal="center" vertical="center"/>
    </xf>
    <xf numFmtId="0" fontId="126" fillId="0" borderId="25" xfId="0" applyFont="1" applyBorder="1" applyAlignment="1">
      <alignment horizontal="center" vertical="center"/>
    </xf>
    <xf numFmtId="0" fontId="126" fillId="0" borderId="7" xfId="0" applyFont="1" applyBorder="1" applyAlignment="1">
      <alignment horizontal="center" vertical="center"/>
    </xf>
    <xf numFmtId="0" fontId="127" fillId="0" borderId="25" xfId="0" applyFont="1" applyBorder="1" applyAlignment="1">
      <alignment horizontal="center" vertical="center"/>
    </xf>
    <xf numFmtId="0" fontId="129" fillId="6" borderId="15" xfId="0" applyFont="1" applyFill="1" applyBorder="1" applyAlignment="1">
      <alignment horizontal="center" vertical="center"/>
    </xf>
    <xf numFmtId="0" fontId="30" fillId="13" borderId="10" xfId="0" applyFont="1" applyFill="1" applyBorder="1" applyAlignment="1">
      <alignment horizontal="left" vertical="center" indent="1"/>
    </xf>
    <xf numFmtId="0" fontId="23" fillId="7" borderId="6" xfId="0" applyFont="1" applyFill="1" applyBorder="1" applyAlignment="1">
      <alignment horizontal="center" vertical="center"/>
    </xf>
    <xf numFmtId="0" fontId="89" fillId="6" borderId="6" xfId="0" applyFont="1" applyFill="1" applyBorder="1" applyAlignment="1">
      <alignment horizontal="center" vertical="center"/>
    </xf>
    <xf numFmtId="0" fontId="117" fillId="4" borderId="6" xfId="0" applyFont="1" applyFill="1" applyBorder="1" applyAlignment="1">
      <alignment horizontal="center" vertical="center"/>
    </xf>
    <xf numFmtId="0" fontId="111" fillId="5" borderId="6" xfId="0" applyFont="1" applyFill="1" applyBorder="1" applyAlignment="1">
      <alignment horizontal="center" vertical="center"/>
    </xf>
    <xf numFmtId="0" fontId="122" fillId="5" borderId="6" xfId="0" applyFont="1" applyFill="1" applyBorder="1" applyAlignment="1">
      <alignment horizontal="center" vertical="center"/>
    </xf>
    <xf numFmtId="0" fontId="89" fillId="5" borderId="11" xfId="0" applyFont="1" applyFill="1" applyBorder="1" applyAlignment="1">
      <alignment horizontal="left" vertical="center" indent="1"/>
    </xf>
    <xf numFmtId="0" fontId="111" fillId="22" borderId="6" xfId="0" applyFont="1" applyFill="1" applyBorder="1" applyAlignment="1">
      <alignment horizontal="center" vertical="center"/>
    </xf>
    <xf numFmtId="0" fontId="124" fillId="22" borderId="6" xfId="0" applyFont="1" applyFill="1" applyBorder="1" applyAlignment="1">
      <alignment horizontal="center" vertical="center"/>
    </xf>
    <xf numFmtId="0" fontId="114" fillId="6" borderId="0" xfId="0" applyFont="1" applyFill="1" applyAlignment="1">
      <alignment horizontal="center" vertical="center"/>
    </xf>
    <xf numFmtId="0" fontId="89" fillId="5" borderId="11" xfId="0" quotePrefix="1" applyFont="1" applyFill="1" applyBorder="1" applyAlignment="1">
      <alignment horizontal="left" vertical="center" indent="1"/>
    </xf>
    <xf numFmtId="0" fontId="130" fillId="5" borderId="0" xfId="0" applyFont="1" applyFill="1" applyAlignment="1">
      <alignment horizontal="center" vertical="center"/>
    </xf>
    <xf numFmtId="0" fontId="98" fillId="4" borderId="0" xfId="0" applyFont="1" applyFill="1" applyAlignment="1">
      <alignment horizontal="center" vertical="center"/>
    </xf>
    <xf numFmtId="0" fontId="98" fillId="3" borderId="27" xfId="0" applyFont="1" applyFill="1" applyBorder="1" applyAlignment="1">
      <alignment horizontal="center" vertical="center"/>
    </xf>
    <xf numFmtId="0" fontId="98" fillId="5" borderId="28" xfId="0" applyFont="1" applyFill="1" applyBorder="1" applyAlignment="1">
      <alignment horizontal="center" vertical="center"/>
    </xf>
    <xf numFmtId="0" fontId="131" fillId="0" borderId="0" xfId="1" applyFont="1" applyAlignment="1">
      <alignment horizontal="left"/>
    </xf>
    <xf numFmtId="0" fontId="132" fillId="0" borderId="0" xfId="1" applyFont="1"/>
    <xf numFmtId="0" fontId="133" fillId="0" borderId="0" xfId="1" applyFont="1"/>
    <xf numFmtId="0" fontId="134" fillId="0" borderId="0" xfId="1" applyFont="1" applyAlignment="1">
      <alignment horizontal="left"/>
    </xf>
    <xf numFmtId="0" fontId="132" fillId="0" borderId="0" xfId="1" applyFont="1" applyAlignment="1" applyProtection="1">
      <alignment horizontal="center" vertical="center"/>
      <protection locked="0"/>
    </xf>
    <xf numFmtId="0" fontId="132" fillId="0" borderId="0" xfId="1" applyFont="1" applyAlignment="1">
      <alignment horizontal="center" vertical="center"/>
    </xf>
    <xf numFmtId="0" fontId="133" fillId="0" borderId="0" xfId="1" applyFont="1" applyAlignment="1">
      <alignment horizontal="center" vertical="center"/>
    </xf>
    <xf numFmtId="0" fontId="137" fillId="0" borderId="0" xfId="1" applyFont="1" applyAlignment="1">
      <alignment horizontal="center" vertical="center"/>
    </xf>
    <xf numFmtId="0" fontId="138" fillId="0" borderId="0" xfId="1" applyFont="1" applyAlignment="1">
      <alignment horizontal="center" vertical="center"/>
    </xf>
    <xf numFmtId="0" fontId="107" fillId="4" borderId="0" xfId="1" applyFont="1" applyFill="1" applyAlignment="1">
      <alignment horizontal="center" vertical="center"/>
    </xf>
    <xf numFmtId="49" fontId="135" fillId="0" borderId="0" xfId="1" applyNumberFormat="1" applyFont="1" applyAlignment="1">
      <alignment horizontal="center" vertical="center"/>
    </xf>
    <xf numFmtId="49" fontId="136" fillId="0" borderId="0" xfId="1" applyNumberFormat="1" applyFont="1" applyAlignment="1">
      <alignment horizontal="center" vertical="center"/>
    </xf>
    <xf numFmtId="177" fontId="139" fillId="6" borderId="20" xfId="2" applyNumberFormat="1" applyFont="1" applyFill="1" applyBorder="1" applyAlignment="1">
      <alignment horizontal="center" vertical="center"/>
    </xf>
    <xf numFmtId="177" fontId="140" fillId="6" borderId="22" xfId="2" applyNumberFormat="1" applyFont="1" applyFill="1" applyBorder="1" applyAlignment="1">
      <alignment horizontal="center" vertical="center"/>
    </xf>
    <xf numFmtId="0" fontId="141" fillId="6" borderId="0" xfId="0" applyFont="1" applyFill="1" applyAlignment="1">
      <alignment horizontal="center" vertical="center"/>
    </xf>
    <xf numFmtId="0" fontId="141" fillId="5" borderId="0" xfId="0" applyFont="1" applyFill="1" applyAlignment="1">
      <alignment horizontal="left" vertical="center" indent="3"/>
    </xf>
    <xf numFmtId="0" fontId="142" fillId="4" borderId="0" xfId="0" applyFont="1" applyFill="1" applyAlignment="1">
      <alignment horizontal="center" vertical="center"/>
    </xf>
    <xf numFmtId="177" fontId="142" fillId="4" borderId="0" xfId="0" applyNumberFormat="1" applyFont="1" applyFill="1" applyAlignment="1">
      <alignment horizontal="center" vertical="center"/>
    </xf>
    <xf numFmtId="177" fontId="139" fillId="7" borderId="20" xfId="2" applyNumberFormat="1" applyFont="1" applyFill="1" applyBorder="1" applyAlignment="1">
      <alignment horizontal="center" vertical="center"/>
    </xf>
    <xf numFmtId="177" fontId="140" fillId="7" borderId="22" xfId="2" applyNumberFormat="1" applyFont="1" applyFill="1" applyBorder="1" applyAlignment="1">
      <alignment horizontal="center" vertical="center"/>
    </xf>
    <xf numFmtId="0" fontId="59" fillId="6" borderId="21" xfId="2" applyFont="1" applyFill="1" applyBorder="1" applyAlignment="1">
      <alignment horizontal="center" vertical="center"/>
    </xf>
    <xf numFmtId="0" fontId="56" fillId="7" borderId="0" xfId="2" applyFont="1" applyFill="1" applyAlignment="1">
      <alignment horizontal="center" vertical="center"/>
    </xf>
    <xf numFmtId="177" fontId="59" fillId="7" borderId="21" xfId="2" applyNumberFormat="1" applyFont="1" applyFill="1" applyBorder="1" applyAlignment="1">
      <alignment horizontal="center" vertical="center"/>
    </xf>
    <xf numFmtId="0" fontId="56" fillId="6" borderId="0" xfId="2" applyFont="1" applyFill="1" applyAlignment="1">
      <alignment horizontal="center" vertical="center"/>
    </xf>
    <xf numFmtId="0" fontId="144" fillId="0" borderId="0" xfId="0" applyFont="1"/>
    <xf numFmtId="0" fontId="14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6" fillId="0" borderId="29" xfId="0" applyFont="1" applyBorder="1" applyAlignment="1">
      <alignment horizontal="center" vertical="center"/>
    </xf>
    <xf numFmtId="0" fontId="0" fillId="0" borderId="29" xfId="0" applyBorder="1"/>
    <xf numFmtId="0" fontId="115" fillId="0" borderId="30" xfId="0" applyFont="1" applyBorder="1"/>
    <xf numFmtId="0" fontId="149" fillId="13" borderId="30" xfId="0" applyFont="1" applyFill="1" applyBorder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50" fillId="13" borderId="30" xfId="0" applyFont="1" applyFill="1" applyBorder="1" applyAlignment="1">
      <alignment horizontal="center" vertical="center"/>
    </xf>
    <xf numFmtId="0" fontId="148" fillId="13" borderId="30" xfId="0" applyFont="1" applyFill="1" applyBorder="1" applyAlignment="1">
      <alignment horizontal="left" vertical="center"/>
    </xf>
    <xf numFmtId="0" fontId="154" fillId="0" borderId="0" xfId="0" applyFont="1" applyAlignment="1">
      <alignment horizontal="left" vertical="center"/>
    </xf>
    <xf numFmtId="0" fontId="155" fillId="0" borderId="0" xfId="0" applyFont="1"/>
    <xf numFmtId="0" fontId="42" fillId="7" borderId="16" xfId="0" applyFont="1" applyFill="1" applyBorder="1" applyAlignment="1">
      <alignment horizontal="center" vertical="center"/>
    </xf>
    <xf numFmtId="0" fontId="41" fillId="4" borderId="16" xfId="0" applyFont="1" applyFill="1" applyBorder="1" applyAlignment="1">
      <alignment horizontal="center" vertical="center"/>
    </xf>
    <xf numFmtId="0" fontId="46" fillId="6" borderId="16" xfId="0" applyFont="1" applyFill="1" applyBorder="1" applyAlignment="1">
      <alignment horizontal="center" vertical="center"/>
    </xf>
    <xf numFmtId="0" fontId="46" fillId="5" borderId="16" xfId="0" applyFont="1" applyFill="1" applyBorder="1" applyAlignment="1">
      <alignment horizontal="center" vertical="center"/>
    </xf>
    <xf numFmtId="0" fontId="156" fillId="6" borderId="1" xfId="0" applyFont="1" applyFill="1" applyBorder="1" applyAlignment="1">
      <alignment horizontal="center" vertical="center"/>
    </xf>
    <xf numFmtId="0" fontId="156" fillId="6" borderId="0" xfId="0" applyFont="1" applyFill="1" applyAlignment="1">
      <alignment horizontal="center" vertical="center"/>
    </xf>
    <xf numFmtId="0" fontId="156" fillId="6" borderId="8" xfId="0" applyFont="1" applyFill="1" applyBorder="1" applyAlignment="1">
      <alignment horizontal="center" vertical="center"/>
    </xf>
    <xf numFmtId="0" fontId="157" fillId="6" borderId="1" xfId="0" applyFont="1" applyFill="1" applyBorder="1" applyAlignment="1">
      <alignment horizontal="center" vertical="center"/>
    </xf>
    <xf numFmtId="0" fontId="157" fillId="6" borderId="0" xfId="0" applyFont="1" applyFill="1" applyAlignment="1">
      <alignment horizontal="center" vertical="center"/>
    </xf>
    <xf numFmtId="0" fontId="157" fillId="6" borderId="8" xfId="0" applyFont="1" applyFill="1" applyBorder="1" applyAlignment="1">
      <alignment horizontal="center" vertical="center"/>
    </xf>
    <xf numFmtId="0" fontId="161" fillId="0" borderId="0" xfId="1" applyFont="1" applyAlignment="1">
      <alignment horizontal="left" vertical="center" indent="1"/>
    </xf>
    <xf numFmtId="0" fontId="162" fillId="0" borderId="0" xfId="1" applyFont="1" applyAlignment="1">
      <alignment horizontal="left" vertical="center" indent="1"/>
    </xf>
    <xf numFmtId="0" fontId="163" fillId="6" borderId="15" xfId="0" applyFont="1" applyFill="1" applyBorder="1" applyAlignment="1">
      <alignment horizontal="center" vertical="center"/>
    </xf>
    <xf numFmtId="0" fontId="164" fillId="6" borderId="0" xfId="0" applyFont="1" applyFill="1" applyAlignment="1">
      <alignment horizontal="center" vertical="center"/>
    </xf>
    <xf numFmtId="0" fontId="132" fillId="2" borderId="0" xfId="1" applyFont="1" applyFill="1" applyAlignment="1">
      <alignment vertical="center"/>
    </xf>
    <xf numFmtId="0" fontId="165" fillId="5" borderId="0" xfId="0" applyFont="1" applyFill="1" applyAlignment="1">
      <alignment horizontal="center" vertical="center"/>
    </xf>
    <xf numFmtId="0" fontId="155" fillId="0" borderId="0" xfId="0" applyFont="1" applyAlignment="1">
      <alignment horizontal="center"/>
    </xf>
    <xf numFmtId="0" fontId="166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7" fillId="24" borderId="0" xfId="0" applyFont="1" applyFill="1" applyAlignment="1">
      <alignment horizontal="center" vertical="center"/>
    </xf>
    <xf numFmtId="0" fontId="167" fillId="0" borderId="0" xfId="0" applyFont="1" applyAlignment="1">
      <alignment horizontal="center" vertical="center"/>
    </xf>
    <xf numFmtId="0" fontId="53" fillId="0" borderId="3" xfId="0" applyFont="1" applyBorder="1"/>
    <xf numFmtId="0" fontId="53" fillId="0" borderId="1" xfId="0" applyFont="1" applyBorder="1" applyAlignment="1">
      <alignment horizontal="center" vertical="center"/>
    </xf>
    <xf numFmtId="0" fontId="155" fillId="0" borderId="1" xfId="0" applyFont="1" applyBorder="1" applyAlignment="1">
      <alignment horizontal="center"/>
    </xf>
    <xf numFmtId="0" fontId="167" fillId="0" borderId="2" xfId="0" applyFont="1" applyBorder="1" applyAlignment="1">
      <alignment horizontal="center" vertical="center"/>
    </xf>
    <xf numFmtId="0" fontId="53" fillId="0" borderId="5" xfId="0" applyFont="1" applyBorder="1"/>
    <xf numFmtId="0" fontId="167" fillId="0" borderId="4" xfId="0" applyFont="1" applyBorder="1" applyAlignment="1">
      <alignment horizontal="center" vertical="center"/>
    </xf>
    <xf numFmtId="0" fontId="53" fillId="0" borderId="7" xfId="0" applyFont="1" applyBorder="1"/>
    <xf numFmtId="0" fontId="53" fillId="0" borderId="8" xfId="0" applyFont="1" applyBorder="1" applyAlignment="1">
      <alignment horizontal="center" vertical="center"/>
    </xf>
    <xf numFmtId="0" fontId="155" fillId="0" borderId="8" xfId="0" applyFont="1" applyBorder="1" applyAlignment="1">
      <alignment horizontal="center"/>
    </xf>
    <xf numFmtId="0" fontId="167" fillId="0" borderId="9" xfId="0" applyFont="1" applyBorder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168" fillId="0" borderId="0" xfId="0" applyFont="1" applyAlignment="1">
      <alignment horizontal="center"/>
    </xf>
    <xf numFmtId="0" fontId="96" fillId="6" borderId="0" xfId="0" applyFont="1" applyFill="1" applyAlignment="1">
      <alignment horizontal="center" vertical="center"/>
    </xf>
    <xf numFmtId="0" fontId="169" fillId="0" borderId="4" xfId="0" applyFont="1" applyBorder="1" applyAlignment="1">
      <alignment horizontal="center" vertical="center"/>
    </xf>
    <xf numFmtId="0" fontId="53" fillId="0" borderId="12" xfId="0" applyFont="1" applyBorder="1"/>
    <xf numFmtId="0" fontId="53" fillId="0" borderId="13" xfId="0" applyFont="1" applyBorder="1" applyAlignment="1">
      <alignment horizontal="center" vertical="center"/>
    </xf>
    <xf numFmtId="0" fontId="155" fillId="0" borderId="13" xfId="0" applyFont="1" applyBorder="1" applyAlignment="1">
      <alignment horizontal="center"/>
    </xf>
    <xf numFmtId="0" fontId="89" fillId="6" borderId="13" xfId="0" applyFont="1" applyFill="1" applyBorder="1" applyAlignment="1">
      <alignment horizontal="center" vertical="center"/>
    </xf>
    <xf numFmtId="0" fontId="167" fillId="0" borderId="14" xfId="0" applyFont="1" applyBorder="1" applyAlignment="1">
      <alignment horizontal="center" vertical="center"/>
    </xf>
    <xf numFmtId="0" fontId="102" fillId="0" borderId="0" xfId="1" applyFont="1"/>
    <xf numFmtId="0" fontId="170" fillId="0" borderId="0" xfId="0" applyFont="1" applyAlignment="1">
      <alignment horizontal="center" vertical="center"/>
    </xf>
    <xf numFmtId="0" fontId="171" fillId="0" borderId="0" xfId="0" applyFont="1" applyAlignment="1">
      <alignment horizontal="center" vertical="center"/>
    </xf>
    <xf numFmtId="0" fontId="113" fillId="6" borderId="0" xfId="0" applyFont="1" applyFill="1" applyAlignment="1">
      <alignment horizontal="center" vertical="center"/>
    </xf>
    <xf numFmtId="0" fontId="173" fillId="2" borderId="0" xfId="1" applyFont="1" applyFill="1"/>
    <xf numFmtId="0" fontId="173" fillId="2" borderId="0" xfId="1" applyFont="1" applyFill="1" applyAlignment="1">
      <alignment vertical="center"/>
    </xf>
    <xf numFmtId="0" fontId="173" fillId="2" borderId="0" xfId="1" applyFont="1" applyFill="1" applyAlignment="1">
      <alignment horizontal="left" vertical="center" indent="1"/>
    </xf>
    <xf numFmtId="0" fontId="173" fillId="0" borderId="0" xfId="1" applyFont="1"/>
    <xf numFmtId="0" fontId="173" fillId="0" borderId="0" xfId="1" applyFont="1" applyAlignment="1">
      <alignment vertical="center"/>
    </xf>
    <xf numFmtId="0" fontId="173" fillId="0" borderId="0" xfId="1" applyFont="1" applyAlignment="1">
      <alignment horizontal="left" vertical="center" indent="1"/>
    </xf>
    <xf numFmtId="0" fontId="174" fillId="0" borderId="0" xfId="1" applyFont="1"/>
    <xf numFmtId="0" fontId="175" fillId="0" borderId="0" xfId="1" applyFont="1"/>
    <xf numFmtId="0" fontId="176" fillId="6" borderId="6" xfId="0" applyFont="1" applyFill="1" applyBorder="1" applyAlignment="1">
      <alignment horizontal="center" vertical="center"/>
    </xf>
    <xf numFmtId="0" fontId="177" fillId="6" borderId="6" xfId="0" applyFont="1" applyFill="1" applyBorder="1" applyAlignment="1">
      <alignment horizontal="center" vertical="center"/>
    </xf>
    <xf numFmtId="0" fontId="178" fillId="0" borderId="0" xfId="0" applyFont="1" applyAlignment="1">
      <alignment horizontal="left"/>
    </xf>
    <xf numFmtId="0" fontId="137" fillId="0" borderId="0" xfId="1" applyFont="1" applyAlignment="1">
      <alignment horizontal="left" vertical="center"/>
    </xf>
    <xf numFmtId="0" fontId="112" fillId="0" borderId="0" xfId="0" applyFont="1" applyAlignment="1">
      <alignment horizontal="center" vertical="center"/>
    </xf>
    <xf numFmtId="0" fontId="113" fillId="0" borderId="0" xfId="0" quotePrefix="1" applyFont="1" applyAlignment="1">
      <alignment horizontal="center" vertical="center"/>
    </xf>
    <xf numFmtId="0" fontId="17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80" fillId="0" borderId="0" xfId="0" applyFont="1"/>
    <xf numFmtId="0" fontId="180" fillId="0" borderId="0" xfId="0" applyFont="1" applyAlignment="1">
      <alignment horizontal="center"/>
    </xf>
    <xf numFmtId="0" fontId="181" fillId="0" borderId="0" xfId="0" applyFont="1"/>
    <xf numFmtId="0" fontId="182" fillId="0" borderId="0" xfId="0" applyFont="1" applyAlignment="1">
      <alignment horizontal="center"/>
    </xf>
    <xf numFmtId="0" fontId="172" fillId="0" borderId="0" xfId="1" applyFont="1" applyAlignment="1">
      <alignment horizontal="center" vertical="center"/>
    </xf>
    <xf numFmtId="0" fontId="183" fillId="0" borderId="0" xfId="0" applyFont="1" applyAlignment="1">
      <alignment horizontal="center" vertical="center"/>
    </xf>
    <xf numFmtId="0" fontId="154" fillId="0" borderId="0" xfId="0" applyFont="1" applyAlignment="1">
      <alignment horizontal="center" vertical="center"/>
    </xf>
    <xf numFmtId="0" fontId="184" fillId="21" borderId="0" xfId="0" applyFont="1" applyFill="1"/>
    <xf numFmtId="0" fontId="147" fillId="23" borderId="29" xfId="0" applyFont="1" applyFill="1" applyBorder="1" applyAlignment="1">
      <alignment horizontal="center" vertical="center"/>
    </xf>
    <xf numFmtId="0" fontId="56" fillId="7" borderId="17" xfId="2" applyFont="1" applyFill="1" applyBorder="1" applyAlignment="1">
      <alignment horizontal="center"/>
    </xf>
    <xf numFmtId="0" fontId="56" fillId="7" borderId="18" xfId="2" applyFont="1" applyFill="1" applyBorder="1" applyAlignment="1">
      <alignment horizontal="center"/>
    </xf>
    <xf numFmtId="0" fontId="56" fillId="7" borderId="19" xfId="2" applyFont="1" applyFill="1" applyBorder="1" applyAlignment="1">
      <alignment horizontal="center"/>
    </xf>
    <xf numFmtId="0" fontId="57" fillId="7" borderId="17" xfId="2" applyFont="1" applyFill="1" applyBorder="1" applyAlignment="1">
      <alignment horizontal="center"/>
    </xf>
    <xf numFmtId="0" fontId="57" fillId="7" borderId="18" xfId="2" applyFont="1" applyFill="1" applyBorder="1" applyAlignment="1">
      <alignment horizontal="center"/>
    </xf>
    <xf numFmtId="0" fontId="57" fillId="7" borderId="19" xfId="2" applyFont="1" applyFill="1" applyBorder="1" applyAlignment="1">
      <alignment horizontal="center"/>
    </xf>
    <xf numFmtId="0" fontId="56" fillId="6" borderId="17" xfId="2" applyFont="1" applyFill="1" applyBorder="1" applyAlignment="1">
      <alignment horizontal="center"/>
    </xf>
    <xf numFmtId="0" fontId="56" fillId="6" borderId="18" xfId="2" applyFont="1" applyFill="1" applyBorder="1" applyAlignment="1">
      <alignment horizontal="center"/>
    </xf>
    <xf numFmtId="0" fontId="56" fillId="6" borderId="19" xfId="2" applyFont="1" applyFill="1" applyBorder="1" applyAlignment="1">
      <alignment horizontal="center"/>
    </xf>
    <xf numFmtId="0" fontId="56" fillId="14" borderId="17" xfId="2" applyFont="1" applyFill="1" applyBorder="1" applyAlignment="1">
      <alignment horizontal="center"/>
    </xf>
    <xf numFmtId="0" fontId="56" fillId="14" borderId="18" xfId="2" applyFont="1" applyFill="1" applyBorder="1" applyAlignment="1">
      <alignment horizontal="center"/>
    </xf>
    <xf numFmtId="0" fontId="56" fillId="14" borderId="19" xfId="2" applyFont="1" applyFill="1" applyBorder="1" applyAlignment="1">
      <alignment horizontal="center"/>
    </xf>
    <xf numFmtId="9" fontId="56" fillId="14" borderId="17" xfId="2" applyNumberFormat="1" applyFont="1" applyFill="1" applyBorder="1" applyAlignment="1">
      <alignment horizontal="center"/>
    </xf>
    <xf numFmtId="9" fontId="56" fillId="14" borderId="18" xfId="2" applyNumberFormat="1" applyFont="1" applyFill="1" applyBorder="1" applyAlignment="1">
      <alignment horizontal="center"/>
    </xf>
    <xf numFmtId="9" fontId="56" fillId="14" borderId="19" xfId="2" applyNumberFormat="1" applyFont="1" applyFill="1" applyBorder="1" applyAlignment="1">
      <alignment horizontal="center"/>
    </xf>
    <xf numFmtId="0" fontId="185" fillId="0" borderId="0" xfId="0" applyFont="1" applyAlignment="1">
      <alignment horizontal="center" vertical="center"/>
    </xf>
    <xf numFmtId="0" fontId="23" fillId="7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89" fillId="6" borderId="0" xfId="0" applyFont="1" applyFill="1" applyBorder="1" applyAlignment="1">
      <alignment horizontal="center" vertical="center"/>
    </xf>
    <xf numFmtId="0" fontId="122" fillId="5" borderId="0" xfId="0" applyFont="1" applyFill="1" applyBorder="1" applyAlignment="1">
      <alignment horizontal="center" vertical="center"/>
    </xf>
    <xf numFmtId="0" fontId="156" fillId="6" borderId="0" xfId="0" applyFont="1" applyFill="1" applyBorder="1" applyAlignment="1">
      <alignment horizontal="center" vertical="center"/>
    </xf>
    <xf numFmtId="0" fontId="111" fillId="5" borderId="0" xfId="0" applyFont="1" applyFill="1" applyBorder="1" applyAlignment="1">
      <alignment horizontal="center" vertical="center"/>
    </xf>
    <xf numFmtId="0" fontId="30" fillId="13" borderId="0" xfId="0" applyFont="1" applyFill="1" applyBorder="1" applyAlignment="1">
      <alignment horizontal="left" vertical="center" indent="1"/>
    </xf>
    <xf numFmtId="0" fontId="22" fillId="7" borderId="0" xfId="0" applyFont="1" applyFill="1" applyBorder="1" applyAlignment="1">
      <alignment horizontal="center" vertical="center"/>
    </xf>
    <xf numFmtId="0" fontId="105" fillId="4" borderId="0" xfId="0" applyFont="1" applyFill="1" applyBorder="1" applyAlignment="1">
      <alignment horizontal="center" vertical="center"/>
    </xf>
    <xf numFmtId="0" fontId="106" fillId="6" borderId="0" xfId="0" applyFont="1" applyFill="1" applyBorder="1" applyAlignment="1">
      <alignment horizontal="center" vertical="center"/>
    </xf>
    <xf numFmtId="0" fontId="125" fillId="5" borderId="0" xfId="0" applyFont="1" applyFill="1" applyBorder="1" applyAlignment="1">
      <alignment horizontal="center" vertical="center"/>
    </xf>
    <xf numFmtId="0" fontId="106" fillId="5" borderId="0" xfId="0" applyFont="1" applyFill="1" applyBorder="1" applyAlignment="1">
      <alignment horizontal="left" vertical="center" indent="1"/>
    </xf>
    <xf numFmtId="0" fontId="160" fillId="6" borderId="0" xfId="0" applyFont="1" applyFill="1" applyBorder="1" applyAlignment="1">
      <alignment horizontal="center" vertical="center"/>
    </xf>
    <xf numFmtId="0" fontId="89" fillId="5" borderId="0" xfId="0" applyFont="1" applyFill="1" applyBorder="1" applyAlignment="1">
      <alignment horizontal="left" vertical="center" indent="1"/>
    </xf>
    <xf numFmtId="0" fontId="93" fillId="7" borderId="1" xfId="0" applyFont="1" applyFill="1" applyBorder="1" applyAlignment="1">
      <alignment horizontal="center" vertical="center"/>
    </xf>
    <xf numFmtId="0" fontId="94" fillId="4" borderId="1" xfId="0" applyFont="1" applyFill="1" applyBorder="1" applyAlignment="1">
      <alignment horizontal="center" vertical="center"/>
    </xf>
    <xf numFmtId="0" fontId="95" fillId="6" borderId="1" xfId="0" applyFont="1" applyFill="1" applyBorder="1" applyAlignment="1">
      <alignment horizontal="center" vertical="center"/>
    </xf>
    <xf numFmtId="0" fontId="95" fillId="5" borderId="2" xfId="0" applyFont="1" applyFill="1" applyBorder="1" applyAlignment="1">
      <alignment horizontal="left" vertical="center" indent="1"/>
    </xf>
    <xf numFmtId="0" fontId="158" fillId="6" borderId="1" xfId="0" applyFont="1" applyFill="1" applyBorder="1" applyAlignment="1">
      <alignment horizontal="center" vertical="center"/>
    </xf>
    <xf numFmtId="0" fontId="89" fillId="5" borderId="1" xfId="0" applyFont="1" applyFill="1" applyBorder="1" applyAlignment="1">
      <alignment horizontal="left" vertical="center" indent="1"/>
    </xf>
    <xf numFmtId="0" fontId="111" fillId="5" borderId="2" xfId="0" applyFont="1" applyFill="1" applyBorder="1" applyAlignment="1">
      <alignment horizontal="center" vertical="center"/>
    </xf>
    <xf numFmtId="0" fontId="111" fillId="5" borderId="4" xfId="0" applyFont="1" applyFill="1" applyBorder="1" applyAlignment="1">
      <alignment horizontal="center" vertical="center"/>
    </xf>
    <xf numFmtId="0" fontId="89" fillId="5" borderId="8" xfId="0" applyFont="1" applyFill="1" applyBorder="1" applyAlignment="1">
      <alignment horizontal="left" vertical="center" indent="1"/>
    </xf>
    <xf numFmtId="0" fontId="111" fillId="5" borderId="9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176" fontId="96" fillId="6" borderId="0" xfId="0" applyNumberFormat="1" applyFont="1" applyFill="1" applyBorder="1" applyAlignment="1">
      <alignment horizontal="center" vertical="center"/>
    </xf>
    <xf numFmtId="176" fontId="159" fillId="6" borderId="0" xfId="0" applyNumberFormat="1" applyFont="1" applyFill="1" applyBorder="1" applyAlignment="1">
      <alignment horizontal="center" vertical="center"/>
    </xf>
    <xf numFmtId="179" fontId="186" fillId="0" borderId="29" xfId="0" applyNumberFormat="1" applyFont="1" applyBorder="1" applyAlignment="1">
      <alignment horizontal="center" vertical="center"/>
    </xf>
    <xf numFmtId="0" fontId="187" fillId="14" borderId="22" xfId="2" applyFont="1" applyFill="1" applyBorder="1" applyAlignment="1">
      <alignment horizontal="center"/>
    </xf>
    <xf numFmtId="0" fontId="187" fillId="14" borderId="23" xfId="2" applyFont="1" applyFill="1" applyBorder="1" applyAlignment="1">
      <alignment horizontal="center"/>
    </xf>
    <xf numFmtId="0" fontId="187" fillId="14" borderId="22" xfId="2" applyFont="1" applyFill="1" applyBorder="1" applyAlignment="1">
      <alignment horizontal="center" vertical="center"/>
    </xf>
    <xf numFmtId="0" fontId="187" fillId="14" borderId="23" xfId="2" applyFont="1" applyFill="1" applyBorder="1" applyAlignment="1">
      <alignment horizontal="center" vertical="center"/>
    </xf>
  </cellXfs>
  <cellStyles count="5">
    <cellStyle name="一般" xfId="0" builtinId="0"/>
    <cellStyle name="一般 2" xfId="4" xr:uid="{50EDC2C5-1C2E-4F95-9C89-AAC21D54A82B}"/>
    <cellStyle name="一般 3 2" xfId="2" xr:uid="{703AF641-2554-41E3-A1E3-F082EFEA06AE}"/>
    <cellStyle name="一般 4" xfId="1" xr:uid="{D00E67AF-1809-4A9B-A488-D9A10688594D}"/>
    <cellStyle name="超連結" xfId="3" builtinId="8"/>
  </cellStyles>
  <dxfs count="75"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ill>
        <patternFill>
          <bgColor theme="6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  <family val="1"/>
      </font>
      <alignment horizontal="left" vertical="bottom" textRotation="0" wrapText="0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Arial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lef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Noto Sans TC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新細明體"/>
        <family val="1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FF0000"/>
        <name val="芫荽 0.94"/>
        <family val="3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rgb="FFFF0000"/>
        <name val="芫荽 0.94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left" vertical="center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8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auto="1"/>
        <name val="Iansui 094"/>
        <family val="3"/>
        <charset val="136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Noto Serif TC Medium"/>
        <family val="1"/>
        <charset val="136"/>
        <scheme val="none"/>
      </font>
      <fill>
        <patternFill patternType="solid">
          <fgColor rgb="FF000000"/>
          <bgColor rgb="FFFDE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/>
        <name val="Noto Serif TC Medium"/>
        <family val="1"/>
        <charset val="136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1" justifyLastLine="0" shrinkToFit="0" readingOrder="0"/>
    </dxf>
    <dxf>
      <border outline="0">
        <top style="thin">
          <color indexed="64"/>
        </top>
      </border>
    </dxf>
    <dxf>
      <border outline="0">
        <bottom style="double">
          <color indexed="64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790575</xdr:colOff>
      <xdr:row>8</xdr:row>
      <xdr:rowOff>314325</xdr:rowOff>
    </xdr:from>
    <xdr:to>
      <xdr:col>21</xdr:col>
      <xdr:colOff>81676</xdr:colOff>
      <xdr:row>13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206717-5A91-9B34-7EFD-ADE293C2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l="19256" t="10112"/>
        <a:stretch/>
      </xdr:blipFill>
      <xdr:spPr>
        <a:xfrm>
          <a:off x="16764000" y="3162300"/>
          <a:ext cx="1043701" cy="1524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6041;&#38899;.xlsx" TargetMode="External"/><Relationship Id="rId1" Type="http://schemas.openxmlformats.org/officeDocument/2006/relationships/externalLinkPath" Target="&#37749;&#30436;&#35373;&#35336;&#35215;&#26684;_&#27827;&#27931;&#26041;&#3889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7161;&#38899;.xlsx" TargetMode="External"/><Relationship Id="rId1" Type="http://schemas.openxmlformats.org/officeDocument/2006/relationships/externalLinkPath" Target="&#37749;&#30436;&#35373;&#35336;&#35215;&#26684;_&#27827;&#27931;&#27161;&#388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鍵盤圖"/>
      <sheetName val="工作表1"/>
      <sheetName val="聲韻母"/>
      <sheetName val="RIME編碼"/>
      <sheetName val="RIME編碼 (2)"/>
      <sheetName val="RIME對映編碼"/>
      <sheetName val="說明"/>
      <sheetName val="原方音鍵盤圖"/>
      <sheetName val="工作表3"/>
      <sheetName val="RIME對映編碼 (Schema解析)"/>
      <sheetName val=" 河洛方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工作表2"/>
      <sheetName val=" 河洛方音鍵盤設計 (V1)"/>
      <sheetName val="RIME對映編碼 (河洛方音)"/>
    </sheetNames>
    <sheetDataSet>
      <sheetData sheetId="0" refreshError="1"/>
      <sheetData sheetId="1" refreshError="1"/>
      <sheetData sheetId="2" refreshError="1"/>
      <sheetData sheetId="3" refreshError="1">
        <row r="3">
          <cell r="W3" t="str">
            <v>1</v>
          </cell>
          <cell r="AA3" t="str">
            <v>ㄅ</v>
          </cell>
          <cell r="AB3" t="str">
            <v>p</v>
          </cell>
          <cell r="AC3" t="str">
            <v>p</v>
          </cell>
        </row>
        <row r="4">
          <cell r="W4" t="str">
            <v>q</v>
          </cell>
          <cell r="AA4" t="str">
            <v>ㄆ</v>
          </cell>
          <cell r="AB4" t="str">
            <v>P</v>
          </cell>
          <cell r="AC4" t="str">
            <v>ph</v>
          </cell>
        </row>
        <row r="5">
          <cell r="W5" t="str">
            <v>a</v>
          </cell>
          <cell r="AA5" t="str">
            <v>ㄇ</v>
          </cell>
          <cell r="AB5" t="str">
            <v>m</v>
          </cell>
          <cell r="AC5" t="str">
            <v>m</v>
          </cell>
        </row>
        <row r="6">
          <cell r="W6" t="str">
            <v>z</v>
          </cell>
          <cell r="AA6" t="str">
            <v>ﾟ</v>
          </cell>
          <cell r="AB6">
            <v>0</v>
          </cell>
          <cell r="AC6" t="str">
            <v>Z</v>
          </cell>
        </row>
        <row r="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     </cell>
        </row>
        <row r="8">
          <cell r="W8" t="str">
            <v>w</v>
          </cell>
          <cell r="AA8" t="str">
            <v>ㄊ</v>
          </cell>
          <cell r="AB8" t="str">
            <v>T</v>
          </cell>
          <cell r="AC8" t="str">
            <v>th</v>
          </cell>
        </row>
        <row r="9">
          <cell r="W9" t="str">
            <v>s</v>
          </cell>
          <cell r="AA9" t="str">
            <v>ㄋ</v>
          </cell>
          <cell r="AB9" t="str">
            <v>n</v>
          </cell>
          <cell r="AC9" t="str">
            <v>n</v>
          </cell>
        </row>
        <row r="10">
          <cell r="W10" t="str">
            <v>x</v>
          </cell>
          <cell r="AA10" t="str">
            <v>ㄌ</v>
          </cell>
          <cell r="AB10" t="str">
            <v>l</v>
          </cell>
          <cell r="AC10" t="str">
            <v>l</v>
          </cell>
        </row>
        <row r="11">
          <cell r="W11">
            <v>3</v>
          </cell>
          <cell r="AA11" t="str">
            <v>˪</v>
          </cell>
          <cell r="AB11">
            <v>3</v>
          </cell>
          <cell r="AC11">
            <v>3</v>
          </cell>
        </row>
        <row r="12">
          <cell r="W12" t="str">
            <v>e</v>
          </cell>
          <cell r="AA12" t="str">
            <v>ㄍ</v>
          </cell>
          <cell r="AB12" t="str">
            <v>k</v>
          </cell>
          <cell r="AC12" t="str">
            <v>k</v>
          </cell>
        </row>
        <row r="13">
          <cell r="W13" t="str">
            <v>d</v>
          </cell>
          <cell r="AA13" t="str">
            <v>ㄎ</v>
          </cell>
          <cell r="AB13" t="str">
            <v>K</v>
          </cell>
          <cell r="AC13" t="str">
            <v>kh</v>
          </cell>
        </row>
        <row r="14">
          <cell r="W14" t="str">
            <v>c</v>
          </cell>
          <cell r="AA14" t="str">
            <v>ㄏ</v>
          </cell>
          <cell r="AB14" t="str">
            <v>h</v>
          </cell>
          <cell r="AC14" t="str">
            <v>h</v>
          </cell>
        </row>
        <row r="15">
          <cell r="W15">
            <v>4</v>
          </cell>
          <cell r="AA15" t="str">
            <v>ˋ</v>
          </cell>
          <cell r="AB15">
            <v>2</v>
          </cell>
          <cell r="AC15">
            <v>2</v>
          </cell>
        </row>
        <row r="16">
          <cell r="W16" t="str">
            <v>r</v>
          </cell>
          <cell r="AB16" t="str">
            <v/>
          </cell>
        </row>
        <row r="17">
          <cell r="W17" t="str">
            <v>f</v>
          </cell>
          <cell r="AB17" t="str">
            <v/>
          </cell>
        </row>
        <row r="18">
          <cell r="W18" t="str">
            <v>v</v>
          </cell>
          <cell r="AA18" t="str">
            <v>ㄫ</v>
          </cell>
          <cell r="AB18" t="str">
            <v>f</v>
          </cell>
          <cell r="AC18" t="str">
            <v>ng</v>
          </cell>
        </row>
        <row r="19">
          <cell r="W19">
            <v>5</v>
          </cell>
          <cell r="AB19" t="str">
            <v/>
          </cell>
        </row>
        <row r="20">
          <cell r="W20" t="str">
            <v>t</v>
          </cell>
          <cell r="AA20" t="str">
            <v>ㆠ</v>
          </cell>
          <cell r="AB20" t="str">
            <v>b</v>
          </cell>
          <cell r="AC20" t="str">
            <v>b</v>
          </cell>
        </row>
        <row r="21">
          <cell r="W21" t="str">
            <v>g</v>
          </cell>
          <cell r="AA21" t="str">
            <v>ㆣ</v>
          </cell>
          <cell r="AB21" t="str">
            <v>g</v>
          </cell>
          <cell r="AC21" t="str">
            <v>g</v>
          </cell>
        </row>
        <row r="22">
          <cell r="W22" t="str">
            <v>b</v>
          </cell>
          <cell r="AA22" t="str">
            <v>ㆡ</v>
          </cell>
          <cell r="AB22" t="str">
            <v>j</v>
          </cell>
          <cell r="AC22" t="str">
            <v>j</v>
          </cell>
        </row>
        <row r="23">
          <cell r="W23">
            <v>6</v>
          </cell>
          <cell r="AA23" t="str">
            <v>ˊ</v>
          </cell>
          <cell r="AB23">
            <v>5</v>
          </cell>
          <cell r="AC23">
            <v>5</v>
          </cell>
        </row>
        <row r="24">
          <cell r="W24" t="str">
            <v>y</v>
          </cell>
          <cell r="AA24" t="str">
            <v>ㄗ</v>
          </cell>
          <cell r="AB24" t="str">
            <v>c</v>
          </cell>
          <cell r="AC24" t="str">
            <v>c</v>
          </cell>
        </row>
        <row r="25">
          <cell r="W25" t="str">
            <v>h</v>
          </cell>
          <cell r="AA25" t="str">
            <v>ㄘ</v>
          </cell>
          <cell r="AB25" t="str">
            <v>C</v>
          </cell>
          <cell r="AC25" t="str">
            <v>ch</v>
          </cell>
        </row>
        <row r="26">
          <cell r="W26" t="str">
            <v>n</v>
          </cell>
          <cell r="AA26" t="str">
            <v>ㄙ</v>
          </cell>
          <cell r="AB26" t="str">
            <v>s</v>
          </cell>
          <cell r="AC26" t="str">
            <v>s</v>
          </cell>
        </row>
        <row r="27">
          <cell r="W27">
            <v>7</v>
          </cell>
          <cell r="AA27" t="str">
            <v>˫</v>
          </cell>
          <cell r="AB27">
            <v>7</v>
          </cell>
          <cell r="AC27">
            <v>7</v>
          </cell>
        </row>
        <row r="28">
          <cell r="W28" t="str">
            <v>u</v>
          </cell>
          <cell r="AA28" t="str">
            <v>ㄧ</v>
          </cell>
          <cell r="AB28" t="str">
            <v>i</v>
          </cell>
          <cell r="AC28" t="str">
            <v>i</v>
          </cell>
        </row>
        <row r="29">
          <cell r="W29" t="str">
            <v>j</v>
          </cell>
          <cell r="AA29" t="str">
            <v>ㄨ</v>
          </cell>
          <cell r="AB29" t="str">
            <v>u</v>
          </cell>
          <cell r="AC29" t="str">
            <v>u</v>
          </cell>
        </row>
        <row r="30">
          <cell r="W30" t="str">
            <v>m</v>
          </cell>
          <cell r="AA30" t="str">
            <v>ㆬ</v>
          </cell>
          <cell r="AB30" t="str">
            <v>Ｍ</v>
          </cell>
          <cell r="AC30" t="str">
            <v>M</v>
          </cell>
        </row>
        <row r="31">
          <cell r="W31">
            <v>8</v>
          </cell>
          <cell r="AA31" t="str">
            <v>ㄚ</v>
          </cell>
          <cell r="AB31" t="str">
            <v>a</v>
          </cell>
          <cell r="AC31" t="str">
            <v>a</v>
          </cell>
        </row>
        <row r="32">
          <cell r="W32" t="str">
            <v>i</v>
          </cell>
          <cell r="AA32" t="str">
            <v>ㆦ</v>
          </cell>
          <cell r="AB32" t="str">
            <v>O</v>
          </cell>
          <cell r="AC32" t="str">
            <v>oo</v>
          </cell>
        </row>
        <row r="33">
          <cell r="W33" t="str">
            <v>k</v>
          </cell>
          <cell r="AA33" t="str">
            <v>ㄜ</v>
          </cell>
          <cell r="AB33" t="str">
            <v>o</v>
          </cell>
          <cell r="AC33" t="str">
            <v>o</v>
          </cell>
        </row>
        <row r="34">
          <cell r="W34" t="str">
            <v>,</v>
          </cell>
          <cell r="AA34" t="str">
            <v>ㄝ</v>
          </cell>
          <cell r="AB34" t="str">
            <v>e</v>
          </cell>
          <cell r="AC34" t="str">
            <v>e</v>
          </cell>
        </row>
        <row r="35">
          <cell r="W35">
            <v>9</v>
          </cell>
        </row>
        <row r="36">
          <cell r="W36" t="str">
            <v>o</v>
          </cell>
          <cell r="AA36" t="str">
            <v>Ｐ</v>
          </cell>
          <cell r="AB36" t="str">
            <v>P</v>
          </cell>
          <cell r="AC36" t="str">
            <v>P</v>
          </cell>
        </row>
        <row r="37">
          <cell r="W37" t="str">
            <v>l</v>
          </cell>
          <cell r="AA37" t="str">
            <v>Ｌ</v>
          </cell>
          <cell r="AB37" t="str">
            <v>L</v>
          </cell>
          <cell r="AC37" t="str">
            <v>L</v>
          </cell>
        </row>
        <row r="38">
          <cell r="W38" t="str">
            <v>.</v>
          </cell>
          <cell r="AA38" t="str">
            <v>ㄥ</v>
          </cell>
          <cell r="AB38" t="str">
            <v>F</v>
          </cell>
          <cell r="AC38" t="str">
            <v>ng</v>
          </cell>
        </row>
        <row r="39">
          <cell r="W39">
            <v>0</v>
          </cell>
          <cell r="AB39" t="str">
            <v/>
          </cell>
        </row>
        <row r="40">
          <cell r="W40" t="str">
            <v>p</v>
          </cell>
          <cell r="AA40" t="str">
            <v>ㄣ</v>
          </cell>
          <cell r="AB40" t="str">
            <v>N</v>
          </cell>
          <cell r="AC40" t="str">
            <v>N</v>
          </cell>
        </row>
        <row r="41">
          <cell r="AB41" t="str">
            <v/>
          </cell>
        </row>
        <row r="42">
          <cell r="AB42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使用按鍵解析"/>
      <sheetName val="RIME設定解析"/>
      <sheetName val=" 河洛標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注音符號對映表"/>
      <sheetName val="RIME對映編碼"/>
      <sheetName val="鍵盤圖"/>
    </sheetNames>
    <sheetDataSet>
      <sheetData sheetId="0"/>
      <sheetData sheetId="1">
        <row r="3">
          <cell r="U3" t="str">
            <v>1</v>
          </cell>
          <cell r="W3" t="str">
            <v>p</v>
          </cell>
        </row>
        <row r="4">
          <cell r="U4" t="str">
            <v>!</v>
          </cell>
          <cell r="W4" t="str">
            <v>b</v>
          </cell>
        </row>
        <row r="5">
          <cell r="U5" t="str">
            <v>q</v>
          </cell>
          <cell r="W5" t="str">
            <v>P</v>
          </cell>
        </row>
        <row r="6">
          <cell r="U6" t="str">
            <v>a</v>
          </cell>
          <cell r="W6" t="str">
            <v>m</v>
          </cell>
        </row>
        <row r="7">
          <cell r="U7" t="str">
            <v>2</v>
          </cell>
          <cell r="W7" t="str">
            <v>t</v>
          </cell>
        </row>
        <row r="8">
          <cell r="U8" t="str">
            <v>w</v>
          </cell>
          <cell r="W8" t="str">
            <v>T</v>
          </cell>
        </row>
        <row r="9">
          <cell r="U9" t="str">
            <v>s</v>
          </cell>
          <cell r="W9" t="str">
            <v>n</v>
          </cell>
        </row>
        <row r="10">
          <cell r="U10" t="str">
            <v>x</v>
          </cell>
          <cell r="W10" t="str">
            <v>l</v>
          </cell>
        </row>
        <row r="11">
          <cell r="U11" t="str">
            <v>e</v>
          </cell>
          <cell r="W11" t="str">
            <v>k</v>
          </cell>
        </row>
        <row r="12">
          <cell r="U12" t="str">
            <v>E</v>
          </cell>
          <cell r="W12" t="str">
            <v>g</v>
          </cell>
        </row>
        <row r="13">
          <cell r="U13" t="str">
            <v>d</v>
          </cell>
          <cell r="W13" t="str">
            <v>K</v>
          </cell>
        </row>
        <row r="14">
          <cell r="U14" t="str">
            <v>c</v>
          </cell>
          <cell r="W14" t="str">
            <v>h</v>
          </cell>
        </row>
        <row r="15">
          <cell r="U15" t="str">
            <v>b</v>
          </cell>
          <cell r="W15" t="str">
            <v>j</v>
          </cell>
        </row>
        <row r="16">
          <cell r="U16" t="str">
            <v>y</v>
          </cell>
          <cell r="W16" t="str">
            <v>z</v>
          </cell>
        </row>
        <row r="17">
          <cell r="U17" t="str">
            <v>h</v>
          </cell>
          <cell r="W17" t="str">
            <v>c</v>
          </cell>
        </row>
        <row r="18">
          <cell r="U18" t="str">
            <v>n</v>
          </cell>
          <cell r="W18" t="str">
            <v>s</v>
          </cell>
        </row>
        <row r="19">
          <cell r="U19" t="str">
            <v>B</v>
          </cell>
          <cell r="W19" t="str">
            <v>J</v>
          </cell>
        </row>
        <row r="20">
          <cell r="U20" t="str">
            <v>Y</v>
          </cell>
          <cell r="W20" t="str">
            <v>Z</v>
          </cell>
        </row>
        <row r="21">
          <cell r="U21" t="str">
            <v>H</v>
          </cell>
          <cell r="W21" t="str">
            <v>C</v>
          </cell>
        </row>
        <row r="22">
          <cell r="U22" t="str">
            <v>N</v>
          </cell>
          <cell r="W22" t="str">
            <v>S</v>
          </cell>
        </row>
        <row r="23">
          <cell r="U23" t="str">
            <v>?</v>
          </cell>
          <cell r="W23" t="str">
            <v>w</v>
          </cell>
        </row>
        <row r="24">
          <cell r="U24" t="str">
            <v>u</v>
          </cell>
          <cell r="W24" t="str">
            <v>i</v>
          </cell>
        </row>
        <row r="25">
          <cell r="U25" t="str">
            <v>j</v>
          </cell>
          <cell r="W25" t="str">
            <v>u</v>
          </cell>
        </row>
        <row r="26">
          <cell r="U26" t="str">
            <v>m</v>
          </cell>
          <cell r="W26" t="str">
            <v>M</v>
          </cell>
        </row>
        <row r="27">
          <cell r="U27" t="str">
            <v>8</v>
          </cell>
          <cell r="W27" t="str">
            <v>a</v>
          </cell>
        </row>
        <row r="28">
          <cell r="U28" t="str">
            <v>i</v>
          </cell>
          <cell r="W28" t="str">
            <v>O</v>
          </cell>
        </row>
        <row r="29">
          <cell r="U29" t="str">
            <v>k</v>
          </cell>
          <cell r="W29" t="str">
            <v>o</v>
          </cell>
        </row>
        <row r="30">
          <cell r="U30" t="str">
            <v>,</v>
          </cell>
          <cell r="W30" t="str">
            <v>e</v>
          </cell>
        </row>
        <row r="31">
          <cell r="U31" t="str">
            <v>9</v>
          </cell>
          <cell r="W31" t="str">
            <v>y</v>
          </cell>
        </row>
        <row r="32">
          <cell r="U32" t="str">
            <v>l</v>
          </cell>
          <cell r="W32" t="str">
            <v>x</v>
          </cell>
        </row>
        <row r="33">
          <cell r="U33" t="str">
            <v>.</v>
          </cell>
          <cell r="W33" t="str">
            <v>B</v>
          </cell>
        </row>
        <row r="34">
          <cell r="U34" t="str">
            <v>0</v>
          </cell>
          <cell r="W34" t="str">
            <v>@</v>
          </cell>
        </row>
        <row r="35">
          <cell r="U35" t="str">
            <v>p</v>
          </cell>
          <cell r="W35" t="str">
            <v>N</v>
          </cell>
        </row>
        <row r="36">
          <cell r="U36" t="str">
            <v>;</v>
          </cell>
          <cell r="W36" t="str">
            <v>[</v>
          </cell>
        </row>
        <row r="37">
          <cell r="U37" t="str">
            <v>/</v>
          </cell>
          <cell r="W37" t="str">
            <v>W</v>
          </cell>
        </row>
        <row r="38">
          <cell r="U38" t="str">
            <v>-</v>
          </cell>
          <cell r="W38" t="str">
            <v>R</v>
          </cell>
        </row>
        <row r="39">
          <cell r="U39" t="str">
            <v>U</v>
          </cell>
          <cell r="W39" t="str">
            <v>I</v>
          </cell>
        </row>
        <row r="40">
          <cell r="U40" t="str">
            <v>J</v>
          </cell>
          <cell r="W40" t="str">
            <v>U</v>
          </cell>
        </row>
        <row r="41">
          <cell r="U41" t="str">
            <v>*</v>
          </cell>
          <cell r="W41" t="str">
            <v>A</v>
          </cell>
        </row>
        <row r="42">
          <cell r="U42" t="str">
            <v>I</v>
          </cell>
          <cell r="W42" t="str">
            <v>Q</v>
          </cell>
        </row>
        <row r="43">
          <cell r="U43" t="str">
            <v>&lt;</v>
          </cell>
          <cell r="W43" t="str">
            <v>E</v>
          </cell>
        </row>
        <row r="44">
          <cell r="U44" t="str">
            <v>(</v>
          </cell>
          <cell r="W44" t="str">
            <v>Y</v>
          </cell>
        </row>
        <row r="45">
          <cell r="U45" t="str">
            <v>L</v>
          </cell>
          <cell r="W45" t="str">
            <v>X</v>
          </cell>
        </row>
        <row r="46">
          <cell r="U46" t="str">
            <v>O</v>
          </cell>
          <cell r="W46" t="str">
            <v>}</v>
          </cell>
        </row>
        <row r="47">
          <cell r="U47" t="str">
            <v>A</v>
          </cell>
          <cell r="W47" t="str">
            <v>{</v>
          </cell>
        </row>
        <row r="48">
          <cell r="U48" t="str">
            <v>:</v>
          </cell>
          <cell r="W48" t="str">
            <v>]</v>
          </cell>
        </row>
        <row r="49">
          <cell r="U49" t="str">
            <v xml:space="preserve"> </v>
          </cell>
          <cell r="W49" t="str">
            <v>1</v>
          </cell>
        </row>
        <row r="50">
          <cell r="U50" t="str">
            <v>4</v>
          </cell>
          <cell r="W50" t="str">
            <v>2</v>
          </cell>
        </row>
        <row r="51">
          <cell r="U51" t="str">
            <v>3</v>
          </cell>
          <cell r="W51" t="str">
            <v>3</v>
          </cell>
        </row>
        <row r="52">
          <cell r="U52" t="str">
            <v>6</v>
          </cell>
          <cell r="W52" t="str">
            <v>5</v>
          </cell>
        </row>
        <row r="53">
          <cell r="U53" t="str">
            <v>5</v>
          </cell>
          <cell r="W53" t="str">
            <v>7</v>
          </cell>
        </row>
        <row r="54">
          <cell r="U54" t="str">
            <v>7</v>
          </cell>
          <cell r="W54" t="str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9076CF-6DEF-4E4E-89FE-E37B7352A3DC}" name="注音編碼對照表" displayName="注音編碼對照表" ref="B2:K54" totalsRowShown="0" headerRowBorderDxfId="74" tableBorderDxfId="73">
  <autoFilter ref="B2:K54" xr:uid="{779076CF-6DEF-4E4E-89FE-E37B7352A3DC}"/>
  <tableColumns count="10">
    <tableColumn id="1" xr3:uid="{7ED75D5E-652B-4A3F-A63F-E28CD639A2D8}" name="序號" dataDxfId="72">
      <calculatedColumnFormula>ROW() - 2</calculatedColumnFormula>
    </tableColumn>
    <tableColumn id="2" xr3:uid="{A7CD0E37-FA88-4B7F-9344-02DCFD03CA57}" name="鍵盤按鍵" dataDxfId="71">
      <calculatedColumnFormula xml:space="preserve"> IFERROR( INDEX(#REF!, MATCH($AE3,#REF!, 0)), "")</calculatedColumnFormula>
    </tableColumn>
    <tableColumn id="4" xr3:uid="{529434D2-88AB-4124-93AE-208E9AF52CB4}" name="方音符號" dataDxfId="70"/>
    <tableColumn id="3" xr3:uid="{5803CFB3-58F1-42C5-8A9B-67D4C055A271}" name="注音編碼" dataDxfId="69">
      <calculatedColumnFormula xml:space="preserve"> IFERROR( INDEX(#REF!, MATCH($AE3,#REF!, 0)), "")</calculatedColumnFormula>
    </tableColumn>
    <tableColumn id="7" xr3:uid="{F4C14CB4-A82C-41D9-AF30-BE553CA46FA3}" name="國際音標" dataDxfId="68"/>
    <tableColumn id="6" xr3:uid="{5020FE3A-F6A8-4B02-9B83-6BADE97A0BE0}" name="台語音標" dataDxfId="67"/>
    <tableColumn id="9" xr3:uid="{09D9CE2F-FF7F-4954-9029-DC42E2224DD4}" name="台語音標注音" dataDxfId="66"/>
    <tableColumn id="10" xr3:uid="{0FA99F42-9398-4A91-9911-E2C2A825F7F4}" name="台語ㄅㄆㄇ" dataDxfId="65"/>
    <tableColumn id="5" xr3:uid="{A0645D5D-DBED-4761-A763-4D6D5538C014}" name="我的注音符號" dataDxfId="64"/>
    <tableColumn id="8" xr3:uid="{66F8B891-9FE4-45B3-8BD8-51BA7DD3D43F}" name="組合符號" dataDxfId="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40958B-9384-4E59-AE7A-3C944257DC11}" name="方音聲母表格9" displayName="方音聲母表格9" ref="M2:S8" totalsRowShown="0" headerRowDxfId="62" dataDxfId="60" headerRowBorderDxfId="61" tableBorderDxfId="59" totalsRowBorderDxfId="58">
  <autoFilter ref="M2:S8" xr:uid="{6A40958B-9384-4E59-AE7A-3C944257DC11}"/>
  <tableColumns count="7">
    <tableColumn id="1" xr3:uid="{8F368751-5DB2-45B7-AEA8-1EA789D18D9E}" name="發音部位" dataDxfId="57"/>
    <tableColumn id="2" xr3:uid="{565C2DE6-6770-43E6-8E08-95DB3D74F449}" name="塞音_x000a_(不送氣)" dataDxfId="56"/>
    <tableColumn id="3" xr3:uid="{C60AB197-3C88-4553-AC8F-FA44CBAED771}" name="塞音_x000a_(送氣)" dataDxfId="55"/>
    <tableColumn id="4" xr3:uid="{D3AC809B-436F-4540-B125-7D7963B95663}" name="濁音" dataDxfId="54"/>
    <tableColumn id="5" xr3:uid="{E45EF470-ADED-4F00-ADA7-0F1E5230D10E}" name="鼻音" dataDxfId="53"/>
    <tableColumn id="6" xr3:uid="{67CD2B7D-B586-43C6-A726-BDF60FE9AE6C}" name="擦音" dataDxfId="52"/>
    <tableColumn id="7" xr3:uid="{0BF3A333-A1A0-4499-BCC9-FE62942F95E5}" name="邊音" dataDxfId="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95EEBA-DAA3-4529-9F77-47C4D0A27E24}" name="表格1_33411" displayName="表格1_33411" ref="U2:X54" totalsRowShown="0" headerRowDxfId="50" dataDxfId="49">
  <sortState xmlns:xlrd2="http://schemas.microsoft.com/office/spreadsheetml/2017/richdata2" ref="U3:X54">
    <sortCondition ref="U3:U54" customList="1,q,a,z,2,w,s,x,e,d,c,r,f,v,t,g,b,y,h,n,u,j,m,8,i,k,9,o,l,.,0,p,;,/,-"/>
  </sortState>
  <tableColumns count="4">
    <tableColumn id="1" xr3:uid="{039C6BD6-DD3C-423D-A3C9-F25D72737C8D}" name="鍵盤按鍵" dataDxfId="48">
      <calculatedColumnFormula xml:space="preserve"> J3</calculatedColumnFormula>
    </tableColumn>
    <tableColumn id="4" xr3:uid="{7407D282-3312-489C-B29B-19D43E4E79D6}" name="注音編碼" dataDxfId="47" dataCellStyle="一般 4">
      <calculatedColumnFormula>I3</calculatedColumnFormula>
    </tableColumn>
    <tableColumn id="2" xr3:uid="{DAFEC160-B656-4EE0-9837-61A87BB277BC}" name="台語ㄅㄆㄇ" dataDxfId="46" dataCellStyle="一般 4">
      <calculatedColumnFormula array="1" xml:space="preserve"> INDEX(注音編碼對照表[台語ㄅㄆㄇ], MATCH(TRUE, EXACT(表格1_33411[[#This Row],[鍵盤按鍵]], 注音編碼對照表[鍵盤按鍵] ),0))</calculatedColumnFormula>
    </tableColumn>
    <tableColumn id="3" xr3:uid="{716636BA-FE9C-4F70-80B3-61C875130210}" name="台語音標" dataDxfId="45" dataCellStyle="一般 4">
      <calculatedColumnFormula array="1" xml:space="preserve"> INDEX(注音編碼對照表!$G$3:$G$60, MATCH(TRUE, EXACT(表格1_33411[[#This Row],[注音編碼]], 注音編碼對照表!$E$3:$E$54), 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4D247-1923-4E49-B92A-50848D28AF83}" name="表格1_334" displayName="表格1_334" ref="S2:U44" totalsRowShown="0" headerRowDxfId="44">
  <autoFilter ref="S2:U44" xr:uid="{9C00F295-8A3B-42D3-9D0E-8DA68D6B9D93}"/>
  <sortState xmlns:xlrd2="http://schemas.microsoft.com/office/spreadsheetml/2017/richdata2" ref="S3:U44">
    <sortCondition ref="S3:S44" customList="1,q,a,z,2,w,s,x,e,d,c,r,f,v,t,g,b,y,h,n,u,j,m,8,i,k,9,o,l,.,0,p,;,/,-"/>
  </sortState>
  <tableColumns count="3">
    <tableColumn id="1" xr3:uid="{2CDC81F5-DBE5-45CF-8D10-9B558D6422EC}" name="鍵盤按鍵" dataDxfId="43">
      <calculatedColumnFormula>H3</calculatedColumnFormula>
    </tableColumn>
    <tableColumn id="4" xr3:uid="{52141FD4-4282-4655-8FDB-25D018179FEA}" name="字典編碼" dataDxfId="42" dataCellStyle="一般 4">
      <calculatedColumnFormula>G3</calculatedColumnFormula>
    </tableColumn>
    <tableColumn id="2" xr3:uid="{59B967E3-C71C-4CF6-991D-C8F093BAB101}" name="方音符號" dataDxfId="41">
      <calculatedColumnFormula xml:space="preserve"> IFERROR( INDEX($L$3:$L$44, MATCH(表格1_334[[#This Row],[鍵盤按鍵]], $K$3:$K$44,0)), 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332761-5FFA-4AA1-A510-7EB68827E47D}" name="方音聲母表格" displayName="方音聲母表格" ref="B3:H9" totalsRowShown="0" headerRowDxfId="40" dataDxfId="38" headerRowBorderDxfId="39" tableBorderDxfId="37" totalsRowBorderDxfId="36">
  <autoFilter ref="B3:H9" xr:uid="{CB332761-5FFA-4AA1-A510-7EB68827E47D}"/>
  <tableColumns count="7">
    <tableColumn id="1" xr3:uid="{D99DF20F-51FB-47D5-B4CC-DA04A48AAC2D}" name="發音部位" dataDxfId="35"/>
    <tableColumn id="2" xr3:uid="{6BC15A71-E0D5-404C-A6A6-8B01367E9B89}" name="塞音(不送氣)" dataDxfId="34"/>
    <tableColumn id="3" xr3:uid="{44295C3E-0304-4D25-AA15-E5C51BA36FD4}" name="塞音(送氣)" dataDxfId="33"/>
    <tableColumn id="4" xr3:uid="{F4CC72CD-7170-4DE4-8D5A-C18C426CA527}" name="濁音" dataDxfId="32"/>
    <tableColumn id="5" xr3:uid="{CE151E5C-E9DA-4A02-AD63-353CCFA6087C}" name="鼻音" dataDxfId="31"/>
    <tableColumn id="6" xr3:uid="{69AB656D-E99F-4EEB-9854-42DF77ECEB05}" name="擦音" dataDxfId="30"/>
    <tableColumn id="7" xr3:uid="{F61BA027-9E56-47A1-8224-3F0734C11F32}" name="邊音" dataDxfId="2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9C6517-7F6D-480E-B1F2-0C6C64BD340C}" name="方音韻母表格" displayName="方音韻母表格" ref="B3:U8" totalsRowShown="0" headerRowDxfId="28" dataDxfId="26" headerRowBorderDxfId="27" tableBorderDxfId="25" totalsRowBorderDxfId="24">
  <tableColumns count="20">
    <tableColumn id="1" xr3:uid="{D5BB5D32-B8B3-4985-99FE-4CAE416F8896}" name="韻腹" dataDxfId="23"/>
    <tableColumn id="2" xr3:uid="{2E75F452-C9EB-485A-898D-31B0B52F386A}" name="a" dataDxfId="22"/>
    <tableColumn id="3" xr3:uid="{232D45FA-6A65-4DC6-83E0-957B07FDBA26}" name="aɪ" dataDxfId="21"/>
    <tableColumn id="4" xr3:uid="{70955649-D6B5-40D6-8690-B978B91DB6A6}" name="aʊ" dataDxfId="20"/>
    <tableColumn id="5" xr3:uid="{17517C7F-5843-41D1-B4A0-D822E2A05A3F}" name="e" dataDxfId="19"/>
    <tableColumn id="6" xr3:uid="{A32FB388-F51D-4A09-8143-A8FE8C2735DE}" name="i" dataDxfId="18"/>
    <tableColumn id="7" xr3:uid="{0E349367-F4AB-4C53-8AD3-78E3A14DA801}" name="ɪa" dataDxfId="17"/>
    <tableColumn id="8" xr3:uid="{79DEC6A5-E8D0-4D21-9F9D-F46FE120B69D}" name="ɪaʊ" dataDxfId="16"/>
    <tableColumn id="9" xr3:uid="{9744BF02-11F5-4A49-94C9-F7ABD46F3CF7}" name="ɪə" dataDxfId="15"/>
    <tableColumn id="10" xr3:uid="{7ECBA68D-4E2D-4AE6-95E9-14B150FB60F3}" name="ɪɔ" dataDxfId="14"/>
    <tableColumn id="11" xr3:uid="{AA74AB0B-66F4-4084-A3FE-D313C4537337}" name="iu" dataDxfId="13"/>
    <tableColumn id="12" xr3:uid="{952CA3C9-B72B-4B4A-8975-0116A219DC35}" name="ə" dataDxfId="12"/>
    <tableColumn id="13" xr3:uid="{889BAAAD-336F-4D7B-A274-546C3C9BAC2F}" name="ɔ" dataDxfId="11"/>
    <tableColumn id="14" xr3:uid="{91C2AF01-8439-4A47-A026-6CDF055DF255}" name="u" dataDxfId="10"/>
    <tableColumn id="15" xr3:uid="{5AC88F01-3D1A-4AB5-A9A0-C569C4DDA3AA}" name="ua" dataDxfId="9"/>
    <tableColumn id="16" xr3:uid="{53FD8BAA-0AD0-4BA5-A488-E8FBF6E3B776}" name="uaɪ" dataDxfId="8"/>
    <tableColumn id="17" xr3:uid="{AA997DB6-667B-42B6-9983-F5C6536CECFC}" name="ue" dataDxfId="7"/>
    <tableColumn id="18" xr3:uid="{07146182-EDC0-48F7-B098-DF65D5099290}" name="ui" dataDxfId="6"/>
    <tableColumn id="19" xr3:uid="{C0F0792E-1F02-4269-AD48-9C7CAC2FFDA8}" name="m̩" dataDxfId="5"/>
    <tableColumn id="20" xr3:uid="{CC92EBF2-6977-48AE-A3D3-E116BF9C29F9}" name="ŋ̍" dataDxfId="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mailto:xlit%7CpPbmtTnlzcjskKgwhiuaOoeyx@GRIUAQEYXVHWNMB123570%7C1q!a2wsxyhbnedEgcuj8ik,9l0;-UJ*I%3C(LMo/pm.%2043657%7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A970-BE57-43FE-A6CF-9D1B3551DB21}">
  <sheetPr>
    <tabColor theme="9"/>
  </sheetPr>
  <dimension ref="B1:S87"/>
  <sheetViews>
    <sheetView workbookViewId="0">
      <pane ySplit="2" topLeftCell="A3" activePane="bottomLeft" state="frozen"/>
      <selection pane="bottomLeft" activeCell="F10" sqref="F10"/>
    </sheetView>
  </sheetViews>
  <sheetFormatPr defaultRowHeight="23.25" outlineLevelCol="1"/>
  <cols>
    <col min="1" max="1" width="1.796875" customWidth="1"/>
    <col min="2" max="2" width="6.3984375" style="2" customWidth="1"/>
    <col min="3" max="5" width="10.59765625" style="210" customWidth="1"/>
    <col min="6" max="6" width="10.59765625" style="11" customWidth="1" collapsed="1"/>
    <col min="7" max="7" width="10.59765625" style="199" customWidth="1"/>
    <col min="8" max="10" width="10.8984375" customWidth="1"/>
    <col min="11" max="11" width="10.8984375" style="210" customWidth="1"/>
    <col min="12" max="12" width="10.59765625" style="210" customWidth="1"/>
    <col min="13" max="13" width="10.59765625" style="11" customWidth="1"/>
    <col min="14" max="14" width="8.796875" style="297" customWidth="1" outlineLevel="1"/>
    <col min="20" max="25" width="9.69921875" customWidth="1"/>
  </cols>
  <sheetData>
    <row r="1" spans="2:19" ht="32.25">
      <c r="B1" s="7" t="s">
        <v>5</v>
      </c>
      <c r="C1" s="101"/>
      <c r="D1" s="101"/>
      <c r="E1" s="101"/>
      <c r="F1" s="101"/>
      <c r="G1" s="100"/>
      <c r="H1" s="101"/>
      <c r="I1" s="8"/>
      <c r="J1" s="101"/>
      <c r="K1" s="297"/>
      <c r="L1"/>
      <c r="M1"/>
      <c r="N1"/>
    </row>
    <row r="2" spans="2:19" ht="33">
      <c r="B2" s="257" t="s">
        <v>14</v>
      </c>
      <c r="C2" s="258" t="s">
        <v>19</v>
      </c>
      <c r="D2" s="315" t="s">
        <v>261</v>
      </c>
      <c r="E2" s="259" t="s">
        <v>342</v>
      </c>
      <c r="F2" s="260" t="s">
        <v>466</v>
      </c>
      <c r="G2" s="260" t="s">
        <v>263</v>
      </c>
      <c r="H2" s="259" t="s">
        <v>553</v>
      </c>
      <c r="I2" s="259" t="s">
        <v>1452</v>
      </c>
      <c r="J2" s="369" t="s">
        <v>1462</v>
      </c>
      <c r="K2" s="260" t="s">
        <v>529</v>
      </c>
      <c r="L2"/>
      <c r="M2" s="268" t="s">
        <v>449</v>
      </c>
      <c r="N2" s="269" t="s">
        <v>464</v>
      </c>
      <c r="O2" s="269" t="s">
        <v>465</v>
      </c>
      <c r="P2" s="270" t="s">
        <v>418</v>
      </c>
      <c r="Q2" s="270" t="s">
        <v>419</v>
      </c>
      <c r="R2" s="270" t="s">
        <v>420</v>
      </c>
      <c r="S2" s="271" t="s">
        <v>421</v>
      </c>
    </row>
    <row r="3" spans="2:19" ht="32.25">
      <c r="B3" s="25">
        <f>ROW() - 2</f>
        <v>1</v>
      </c>
      <c r="C3" s="96" t="s">
        <v>249</v>
      </c>
      <c r="D3" s="26" t="s">
        <v>20</v>
      </c>
      <c r="E3" s="261" t="s">
        <v>178</v>
      </c>
      <c r="F3" s="290" t="s">
        <v>467</v>
      </c>
      <c r="G3" s="263" t="s">
        <v>178</v>
      </c>
      <c r="H3" s="358" t="s">
        <v>20</v>
      </c>
      <c r="I3" s="358" t="s">
        <v>20</v>
      </c>
      <c r="J3" s="262" t="s">
        <v>20</v>
      </c>
      <c r="K3" s="262"/>
      <c r="L3"/>
      <c r="M3" s="276" t="s">
        <v>422</v>
      </c>
      <c r="N3" s="272" t="s">
        <v>423</v>
      </c>
      <c r="O3" s="272" t="s">
        <v>424</v>
      </c>
      <c r="P3" s="272" t="s">
        <v>425</v>
      </c>
      <c r="Q3" s="272" t="s">
        <v>426</v>
      </c>
      <c r="R3" s="272"/>
      <c r="S3" s="273"/>
    </row>
    <row r="4" spans="2:19" ht="32.25">
      <c r="B4" s="31">
        <f t="shared" ref="B4:B60" si="0">ROW() - 2</f>
        <v>2</v>
      </c>
      <c r="C4" s="71" t="s">
        <v>248</v>
      </c>
      <c r="D4" s="32" t="s">
        <v>23</v>
      </c>
      <c r="E4" s="192" t="s">
        <v>267</v>
      </c>
      <c r="F4" s="291" t="s">
        <v>479</v>
      </c>
      <c r="G4" s="264" t="s">
        <v>265</v>
      </c>
      <c r="H4" s="359" t="s">
        <v>23</v>
      </c>
      <c r="I4" s="359" t="s">
        <v>23</v>
      </c>
      <c r="J4" s="237" t="s">
        <v>23</v>
      </c>
      <c r="K4" s="237"/>
      <c r="L4"/>
      <c r="M4" s="276" t="s">
        <v>427</v>
      </c>
      <c r="N4" s="272" t="s">
        <v>428</v>
      </c>
      <c r="O4" s="272" t="s">
        <v>429</v>
      </c>
      <c r="P4" s="272"/>
      <c r="Q4" s="272" t="s">
        <v>430</v>
      </c>
      <c r="R4" s="272"/>
      <c r="S4" s="273" t="s">
        <v>431</v>
      </c>
    </row>
    <row r="5" spans="2:19" ht="32.25">
      <c r="B5" s="31">
        <f t="shared" si="0"/>
        <v>3</v>
      </c>
      <c r="C5" s="71" t="s">
        <v>266</v>
      </c>
      <c r="D5" s="32" t="s">
        <v>27</v>
      </c>
      <c r="E5" s="192" t="s">
        <v>165</v>
      </c>
      <c r="F5" s="291" t="s">
        <v>469</v>
      </c>
      <c r="G5" s="264" t="s">
        <v>165</v>
      </c>
      <c r="H5" s="359" t="s">
        <v>542</v>
      </c>
      <c r="I5" s="359" t="s">
        <v>27</v>
      </c>
      <c r="J5" s="237" t="s">
        <v>389</v>
      </c>
      <c r="K5" s="237"/>
      <c r="L5"/>
      <c r="M5" s="276" t="s">
        <v>432</v>
      </c>
      <c r="N5" s="272" t="s">
        <v>433</v>
      </c>
      <c r="O5" s="272" t="s">
        <v>434</v>
      </c>
      <c r="P5" s="272" t="s">
        <v>435</v>
      </c>
      <c r="Q5" s="272"/>
      <c r="R5" s="272" t="s">
        <v>436</v>
      </c>
      <c r="S5" s="273"/>
    </row>
    <row r="6" spans="2:19" ht="32.25">
      <c r="B6" s="41">
        <f t="shared" si="0"/>
        <v>4</v>
      </c>
      <c r="C6" s="73" t="s">
        <v>247</v>
      </c>
      <c r="D6" s="42" t="s">
        <v>83</v>
      </c>
      <c r="E6" s="265" t="s">
        <v>142</v>
      </c>
      <c r="F6" s="292" t="s">
        <v>468</v>
      </c>
      <c r="G6" s="267" t="s">
        <v>142</v>
      </c>
      <c r="H6" s="360" t="s">
        <v>83</v>
      </c>
      <c r="I6" s="360" t="s">
        <v>83</v>
      </c>
      <c r="J6" s="266" t="s">
        <v>83</v>
      </c>
      <c r="K6" s="266"/>
      <c r="L6"/>
      <c r="M6" s="276" t="s">
        <v>437</v>
      </c>
      <c r="N6" s="272" t="s">
        <v>438</v>
      </c>
      <c r="O6" s="272" t="s">
        <v>439</v>
      </c>
      <c r="P6" s="272" t="s">
        <v>440</v>
      </c>
      <c r="Q6" s="272"/>
      <c r="R6" s="272" t="s">
        <v>441</v>
      </c>
      <c r="S6" s="273"/>
    </row>
    <row r="7" spans="2:19" ht="32.25">
      <c r="B7" s="25">
        <f t="shared" si="0"/>
        <v>5</v>
      </c>
      <c r="C7" s="96" t="s">
        <v>245</v>
      </c>
      <c r="D7" s="26" t="s">
        <v>29</v>
      </c>
      <c r="E7" s="261" t="s">
        <v>30</v>
      </c>
      <c r="F7" s="290" t="s">
        <v>470</v>
      </c>
      <c r="G7" s="263" t="s">
        <v>30</v>
      </c>
      <c r="H7" s="358" t="s">
        <v>29</v>
      </c>
      <c r="I7" s="358" t="s">
        <v>29</v>
      </c>
      <c r="J7" s="262" t="s">
        <v>29</v>
      </c>
      <c r="K7" s="262"/>
      <c r="L7"/>
      <c r="M7" s="276" t="s">
        <v>442</v>
      </c>
      <c r="N7" s="272" t="s">
        <v>443</v>
      </c>
      <c r="O7" s="272" t="s">
        <v>444</v>
      </c>
      <c r="P7" s="272" t="s">
        <v>445</v>
      </c>
      <c r="Q7" s="272" t="s">
        <v>446</v>
      </c>
      <c r="R7" s="272"/>
      <c r="S7" s="273"/>
    </row>
    <row r="8" spans="2:19" ht="32.25">
      <c r="B8" s="31">
        <f t="shared" si="0"/>
        <v>6</v>
      </c>
      <c r="C8" s="71" t="s">
        <v>242</v>
      </c>
      <c r="D8" s="32" t="s">
        <v>31</v>
      </c>
      <c r="E8" s="192" t="s">
        <v>269</v>
      </c>
      <c r="F8" s="291" t="s">
        <v>480</v>
      </c>
      <c r="G8" s="264" t="s">
        <v>32</v>
      </c>
      <c r="H8" s="359" t="s">
        <v>31</v>
      </c>
      <c r="I8" s="359" t="s">
        <v>31</v>
      </c>
      <c r="J8" s="237" t="s">
        <v>31</v>
      </c>
      <c r="K8" s="237"/>
      <c r="L8"/>
      <c r="M8" s="277" t="s">
        <v>447</v>
      </c>
      <c r="N8" s="274"/>
      <c r="O8" s="274"/>
      <c r="P8" s="274"/>
      <c r="Q8" s="274"/>
      <c r="R8" s="274" t="s">
        <v>448</v>
      </c>
      <c r="S8" s="275"/>
    </row>
    <row r="9" spans="2:19" ht="32.25">
      <c r="B9" s="31">
        <f t="shared" si="0"/>
        <v>7</v>
      </c>
      <c r="C9" s="71" t="s">
        <v>239</v>
      </c>
      <c r="D9" s="32" t="s">
        <v>33</v>
      </c>
      <c r="E9" s="192" t="s">
        <v>34</v>
      </c>
      <c r="F9" s="291" t="s">
        <v>471</v>
      </c>
      <c r="G9" s="264" t="s">
        <v>34</v>
      </c>
      <c r="H9" s="359" t="s">
        <v>33</v>
      </c>
      <c r="I9" s="359" t="s">
        <v>33</v>
      </c>
      <c r="J9" s="237" t="s">
        <v>33</v>
      </c>
      <c r="K9" s="237"/>
      <c r="L9"/>
      <c r="M9"/>
      <c r="N9"/>
    </row>
    <row r="10" spans="2:19" ht="45.75">
      <c r="B10" s="41">
        <f t="shared" si="0"/>
        <v>8</v>
      </c>
      <c r="C10" s="73" t="s">
        <v>237</v>
      </c>
      <c r="D10" s="42" t="s">
        <v>85</v>
      </c>
      <c r="E10" s="265" t="s">
        <v>86</v>
      </c>
      <c r="F10" s="292" t="s">
        <v>472</v>
      </c>
      <c r="G10" s="267" t="s">
        <v>86</v>
      </c>
      <c r="H10" s="360" t="s">
        <v>85</v>
      </c>
      <c r="I10" s="360" t="s">
        <v>85</v>
      </c>
      <c r="J10" s="266" t="s">
        <v>85</v>
      </c>
      <c r="K10" s="266"/>
      <c r="L10"/>
      <c r="M10" s="342" t="s">
        <v>554</v>
      </c>
      <c r="N10"/>
    </row>
    <row r="11" spans="2:19" ht="44.25">
      <c r="B11" s="25">
        <f t="shared" ref="B11:B14" si="1">ROW() - 2</f>
        <v>9</v>
      </c>
      <c r="C11" s="278" t="s">
        <v>343</v>
      </c>
      <c r="D11" s="280" t="s">
        <v>43</v>
      </c>
      <c r="E11" s="279" t="s">
        <v>158</v>
      </c>
      <c r="F11" s="290" t="s">
        <v>474</v>
      </c>
      <c r="G11" s="281" t="s">
        <v>158</v>
      </c>
      <c r="H11" s="361" t="s">
        <v>43</v>
      </c>
      <c r="I11" s="361" t="s">
        <v>43</v>
      </c>
      <c r="J11" s="262" t="s">
        <v>43</v>
      </c>
      <c r="K11" s="262"/>
      <c r="L11"/>
      <c r="M11" s="343" cm="1">
        <f t="array" ref="M11" xml:space="preserve"> ROW() - ROW($10:$10)</f>
        <v>1</v>
      </c>
      <c r="N11" s="343" t="str">
        <f t="shared" ref="N11:N16" si="2" xml:space="preserve"> MID($M$10, M11, 1)</f>
        <v>t</v>
      </c>
      <c r="O11" s="190" t="str" cm="1">
        <f t="array" ref="O11" xml:space="preserve"> INDEX(注音編碼對照表[方音符號], MATCH(TRUE, EXACT(N11, 注音編碼對照表[台語音標]), 0))</f>
        <v>ㄉ</v>
      </c>
      <c r="P11" s="343"/>
      <c r="Q11" s="343"/>
      <c r="R11" s="343"/>
      <c r="S11" s="343"/>
    </row>
    <row r="12" spans="2:19" ht="44.25">
      <c r="B12" s="31">
        <f t="shared" si="1"/>
        <v>10</v>
      </c>
      <c r="C12" s="282" t="s">
        <v>272</v>
      </c>
      <c r="D12" s="284" t="s">
        <v>46</v>
      </c>
      <c r="E12" s="283" t="s">
        <v>223</v>
      </c>
      <c r="F12" s="291" t="s">
        <v>473</v>
      </c>
      <c r="G12" s="285" t="s">
        <v>223</v>
      </c>
      <c r="H12" s="362" t="s">
        <v>46</v>
      </c>
      <c r="I12" s="362" t="s">
        <v>46</v>
      </c>
      <c r="J12" s="237" t="s">
        <v>46</v>
      </c>
      <c r="K12" s="237"/>
      <c r="L12"/>
      <c r="M12" s="343" cm="1">
        <f t="array" ref="M12" xml:space="preserve"> ROW() - ROW($10:$10)</f>
        <v>2</v>
      </c>
      <c r="N12" s="343" t="str">
        <f t="shared" si="2"/>
        <v>a</v>
      </c>
      <c r="O12" s="190" t="str" cm="1">
        <f t="array" ref="O12" xml:space="preserve"> INDEX(注音編碼對照表[方音符號], MATCH(TRUE, EXACT(N12, 注音編碼對照表[台語音標]), 0))</f>
        <v>ㄚ</v>
      </c>
      <c r="P12" s="343"/>
      <c r="Q12" s="343"/>
    </row>
    <row r="13" spans="2:19" ht="44.25">
      <c r="B13" s="31">
        <f t="shared" si="1"/>
        <v>11</v>
      </c>
      <c r="C13" s="71" t="s">
        <v>165</v>
      </c>
      <c r="D13" s="32" t="s">
        <v>276</v>
      </c>
      <c r="E13" s="192" t="s">
        <v>194</v>
      </c>
      <c r="F13" s="291" t="s">
        <v>475</v>
      </c>
      <c r="G13" s="264" t="s">
        <v>194</v>
      </c>
      <c r="H13" s="359" t="s">
        <v>275</v>
      </c>
      <c r="I13" s="359" t="s">
        <v>48</v>
      </c>
      <c r="J13" s="237" t="s">
        <v>275</v>
      </c>
      <c r="K13" s="237"/>
      <c r="L13"/>
      <c r="M13" s="343" cm="1">
        <f t="array" ref="M13" xml:space="preserve"> ROW() - ROW($10:$10)</f>
        <v>3</v>
      </c>
      <c r="N13" s="343" t="str">
        <f t="shared" si="2"/>
        <v>n</v>
      </c>
      <c r="O13" s="190" t="str" cm="1">
        <f t="array" ref="O13" xml:space="preserve"> INDEX(注音編碼對照表[方音符號], MATCH(TRUE, EXACT(N13, 注音編碼對照表[台語音標]), 0))</f>
        <v>ㄋ</v>
      </c>
      <c r="P13" s="190"/>
      <c r="Q13" s="190"/>
    </row>
    <row r="14" spans="2:19" ht="44.25">
      <c r="B14" s="41">
        <f t="shared" si="1"/>
        <v>12</v>
      </c>
      <c r="C14" s="286" t="s">
        <v>34</v>
      </c>
      <c r="D14" s="288" t="s">
        <v>50</v>
      </c>
      <c r="E14" s="287" t="s">
        <v>239</v>
      </c>
      <c r="F14" s="292" t="s">
        <v>51</v>
      </c>
      <c r="G14" s="289" t="s">
        <v>239</v>
      </c>
      <c r="H14" s="363" t="s">
        <v>50</v>
      </c>
      <c r="I14" s="363" t="s">
        <v>50</v>
      </c>
      <c r="J14" s="266" t="s">
        <v>50</v>
      </c>
      <c r="K14" s="266"/>
      <c r="L14"/>
      <c r="M14" s="343" cm="1">
        <f t="array" ref="M14" xml:space="preserve"> ROW() - ROW($10:$10)</f>
        <v>4</v>
      </c>
      <c r="N14" s="343" t="str">
        <f t="shared" si="2"/>
        <v>g</v>
      </c>
      <c r="O14" s="190" t="str" cm="1">
        <f t="array" ref="O14" xml:space="preserve"> INDEX(注音編碼對照表[方音符號], MATCH(TRUE, EXACT(N14, 注音編碼對照表[台語音標]), 0))</f>
        <v>ㆣ</v>
      </c>
    </row>
    <row r="15" spans="2:19" ht="44.25">
      <c r="B15" s="25">
        <f t="shared" si="0"/>
        <v>13</v>
      </c>
      <c r="C15" s="278" t="s">
        <v>257</v>
      </c>
      <c r="D15" s="280" t="s">
        <v>89</v>
      </c>
      <c r="E15" s="279" t="s">
        <v>253</v>
      </c>
      <c r="F15" s="290" t="s">
        <v>1463</v>
      </c>
      <c r="G15" s="281" t="s">
        <v>373</v>
      </c>
      <c r="H15" s="361" t="s">
        <v>89</v>
      </c>
      <c r="I15" s="361" t="s">
        <v>89</v>
      </c>
      <c r="J15" s="262" t="s">
        <v>89</v>
      </c>
      <c r="K15" s="262"/>
      <c r="L15"/>
      <c r="M15" s="343" cm="1">
        <f t="array" ref="M15" xml:space="preserve"> ROW() - ROW($10:$10)</f>
        <v>5</v>
      </c>
      <c r="N15" s="343" t="str">
        <f t="shared" si="2"/>
        <v>1</v>
      </c>
      <c r="O15" s="190" t="str" cm="1">
        <f t="array" ref="O15" xml:space="preserve"> INDEX(注音編碼對照表[方音符號], MATCH(TRUE, EXACT(N15, 注音編碼對照表[台語音標]), 0))</f>
        <v>ˉ</v>
      </c>
    </row>
    <row r="16" spans="2:19" ht="44.25">
      <c r="B16" s="31">
        <f t="shared" si="0"/>
        <v>14</v>
      </c>
      <c r="C16" s="282" t="s">
        <v>258</v>
      </c>
      <c r="D16" s="284" t="s">
        <v>91</v>
      </c>
      <c r="E16" s="283" t="s">
        <v>210</v>
      </c>
      <c r="F16" s="291" t="s">
        <v>1464</v>
      </c>
      <c r="G16" s="285" t="s">
        <v>374</v>
      </c>
      <c r="H16" s="362" t="s">
        <v>91</v>
      </c>
      <c r="I16" s="362" t="s">
        <v>91</v>
      </c>
      <c r="J16" s="237" t="s">
        <v>91</v>
      </c>
      <c r="K16" s="237"/>
      <c r="L16"/>
      <c r="M16" s="343" cm="1">
        <f t="array" ref="M16" xml:space="preserve"> ROW() - ROW($10:$10)</f>
        <v>6</v>
      </c>
      <c r="N16" s="343" t="str">
        <f t="shared" si="2"/>
        <v/>
      </c>
    </row>
    <row r="17" spans="2:17" ht="44.25">
      <c r="B17" s="31">
        <f t="shared" si="0"/>
        <v>15</v>
      </c>
      <c r="C17" s="71" t="s">
        <v>179</v>
      </c>
      <c r="D17" s="32" t="s">
        <v>109</v>
      </c>
      <c r="E17" s="192" t="s">
        <v>254</v>
      </c>
      <c r="F17" s="291" t="s">
        <v>1465</v>
      </c>
      <c r="G17" s="264" t="s">
        <v>349</v>
      </c>
      <c r="H17" s="359" t="s">
        <v>275</v>
      </c>
      <c r="I17" s="359" t="s">
        <v>109</v>
      </c>
      <c r="J17" s="237" t="s">
        <v>1461</v>
      </c>
      <c r="K17" s="237"/>
      <c r="L17"/>
      <c r="M17" s="343" cm="1">
        <f t="array" ref="M17" xml:space="preserve"> ROW() - ROW($10:$10)</f>
        <v>7</v>
      </c>
      <c r="N17"/>
    </row>
    <row r="18" spans="2:17" ht="44.25">
      <c r="B18" s="41">
        <f t="shared" si="0"/>
        <v>16</v>
      </c>
      <c r="C18" s="286" t="s">
        <v>26</v>
      </c>
      <c r="D18" s="288" t="s">
        <v>209</v>
      </c>
      <c r="E18" s="287" t="s">
        <v>255</v>
      </c>
      <c r="F18" s="292" t="s">
        <v>1466</v>
      </c>
      <c r="G18" s="289" t="s">
        <v>283</v>
      </c>
      <c r="H18" s="363" t="s">
        <v>209</v>
      </c>
      <c r="I18" s="363" t="s">
        <v>209</v>
      </c>
      <c r="J18" s="266" t="s">
        <v>209</v>
      </c>
      <c r="K18" s="266"/>
      <c r="L18"/>
      <c r="M18" s="343" cm="1">
        <f t="array" ref="M18" xml:space="preserve"> ROW() - ROW($10:$10)</f>
        <v>8</v>
      </c>
      <c r="N18"/>
    </row>
    <row r="19" spans="2:17" ht="32.25">
      <c r="B19" s="25">
        <f t="shared" si="0"/>
        <v>17</v>
      </c>
      <c r="C19" s="96" t="s">
        <v>234</v>
      </c>
      <c r="D19" s="26" t="s">
        <v>36</v>
      </c>
      <c r="E19" s="261" t="s">
        <v>37</v>
      </c>
      <c r="F19" s="290" t="s">
        <v>476</v>
      </c>
      <c r="G19" s="263" t="s">
        <v>37</v>
      </c>
      <c r="H19" s="358" t="s">
        <v>36</v>
      </c>
      <c r="I19" s="358" t="s">
        <v>36</v>
      </c>
      <c r="J19" s="262" t="s">
        <v>36</v>
      </c>
      <c r="K19" s="262"/>
      <c r="L19"/>
      <c r="M19"/>
      <c r="N19"/>
    </row>
    <row r="20" spans="2:17" ht="32.25">
      <c r="B20" s="31">
        <f t="shared" si="0"/>
        <v>18</v>
      </c>
      <c r="C20" s="71" t="s">
        <v>226</v>
      </c>
      <c r="D20" s="32" t="s">
        <v>38</v>
      </c>
      <c r="E20" s="192" t="s">
        <v>273</v>
      </c>
      <c r="F20" s="291" t="s">
        <v>481</v>
      </c>
      <c r="G20" s="264" t="s">
        <v>270</v>
      </c>
      <c r="H20" s="359" t="s">
        <v>543</v>
      </c>
      <c r="I20" s="359" t="s">
        <v>38</v>
      </c>
      <c r="J20" s="237" t="s">
        <v>38</v>
      </c>
      <c r="K20" s="237"/>
      <c r="L20"/>
      <c r="M20"/>
      <c r="N20"/>
    </row>
    <row r="21" spans="2:17" ht="32.25">
      <c r="B21" s="31">
        <f t="shared" si="0"/>
        <v>19</v>
      </c>
      <c r="C21" s="71" t="s">
        <v>231</v>
      </c>
      <c r="D21" s="32" t="s">
        <v>1523</v>
      </c>
      <c r="E21" s="192" t="s">
        <v>161</v>
      </c>
      <c r="F21" s="291" t="s">
        <v>477</v>
      </c>
      <c r="G21" s="264" t="s">
        <v>161</v>
      </c>
      <c r="H21" s="359" t="s">
        <v>544</v>
      </c>
      <c r="I21" s="359" t="s">
        <v>41</v>
      </c>
      <c r="J21" s="237" t="s">
        <v>390</v>
      </c>
      <c r="K21" s="237"/>
      <c r="L21"/>
      <c r="M21"/>
      <c r="N21"/>
    </row>
    <row r="22" spans="2:17" ht="32.25">
      <c r="B22" s="41">
        <f t="shared" si="0"/>
        <v>20</v>
      </c>
      <c r="C22" s="286" t="s">
        <v>477</v>
      </c>
      <c r="D22" s="288" t="s">
        <v>386</v>
      </c>
      <c r="E22" s="287" t="s">
        <v>242</v>
      </c>
      <c r="F22" s="292" t="s">
        <v>482</v>
      </c>
      <c r="G22" s="289" t="s">
        <v>353</v>
      </c>
      <c r="H22" s="363" t="str">
        <f xml:space="preserve"> _xlfn.UNICHAR(8304) &amp; "兀"</f>
        <v>⁰兀</v>
      </c>
      <c r="I22" s="363" t="s">
        <v>1453</v>
      </c>
      <c r="J22" s="266" t="s">
        <v>387</v>
      </c>
      <c r="K22" s="266"/>
      <c r="L22"/>
      <c r="M22"/>
      <c r="N22"/>
    </row>
    <row r="23" spans="2:17" ht="32.25">
      <c r="B23" s="25">
        <f t="shared" si="0"/>
        <v>21</v>
      </c>
      <c r="C23" s="453" t="s">
        <v>223</v>
      </c>
      <c r="D23" s="454" t="s">
        <v>52</v>
      </c>
      <c r="E23" s="455" t="s">
        <v>272</v>
      </c>
      <c r="F23" s="290" t="s">
        <v>478</v>
      </c>
      <c r="G23" s="456" t="s">
        <v>478</v>
      </c>
      <c r="H23" s="457" t="s">
        <v>52</v>
      </c>
      <c r="I23" s="457" t="s">
        <v>52</v>
      </c>
      <c r="J23" s="262" t="s">
        <v>52</v>
      </c>
      <c r="K23" s="262"/>
      <c r="L23"/>
      <c r="M23"/>
      <c r="N23"/>
    </row>
    <row r="24" spans="2:17" ht="32.25">
      <c r="B24" s="87">
        <f t="shared" si="0"/>
        <v>22</v>
      </c>
      <c r="C24" s="96" t="s">
        <v>344</v>
      </c>
      <c r="D24" s="26" t="s">
        <v>58</v>
      </c>
      <c r="E24" s="261" t="s">
        <v>247</v>
      </c>
      <c r="F24" s="293" t="s">
        <v>487</v>
      </c>
      <c r="G24" s="458" t="s">
        <v>247</v>
      </c>
      <c r="H24" s="358" t="s">
        <v>58</v>
      </c>
      <c r="I24" s="358" t="s">
        <v>58</v>
      </c>
      <c r="J24" s="262" t="s">
        <v>58</v>
      </c>
      <c r="K24" s="459"/>
      <c r="L24"/>
      <c r="M24"/>
      <c r="N24"/>
    </row>
    <row r="25" spans="2:17" ht="32.25">
      <c r="B25" s="77">
        <f t="shared" si="0"/>
        <v>23</v>
      </c>
      <c r="C25" s="439" t="s">
        <v>208</v>
      </c>
      <c r="D25" s="440" t="s">
        <v>115</v>
      </c>
      <c r="E25" s="441" t="s">
        <v>352</v>
      </c>
      <c r="F25" s="442" t="s">
        <v>502</v>
      </c>
      <c r="G25" s="452" t="s">
        <v>206</v>
      </c>
      <c r="H25" s="443" t="s">
        <v>549</v>
      </c>
      <c r="I25" s="443" t="s">
        <v>115</v>
      </c>
      <c r="J25" s="444" t="s">
        <v>380</v>
      </c>
      <c r="K25" s="460"/>
      <c r="L25"/>
      <c r="M25" s="239" t="s">
        <v>142</v>
      </c>
      <c r="N25" s="239" t="s">
        <v>298</v>
      </c>
      <c r="O25" s="239" t="s">
        <v>144</v>
      </c>
      <c r="P25" s="239" t="s">
        <v>1449</v>
      </c>
      <c r="Q25" s="239" t="s">
        <v>350</v>
      </c>
    </row>
    <row r="26" spans="2:17" ht="32.25">
      <c r="B26" s="445">
        <f t="shared" si="0"/>
        <v>24</v>
      </c>
      <c r="C26" s="439" t="s">
        <v>170</v>
      </c>
      <c r="D26" s="440" t="s">
        <v>54</v>
      </c>
      <c r="E26" s="441" t="s">
        <v>207</v>
      </c>
      <c r="F26" s="442" t="s">
        <v>483</v>
      </c>
      <c r="G26" s="452" t="s">
        <v>207</v>
      </c>
      <c r="H26" s="443" t="s">
        <v>54</v>
      </c>
      <c r="I26" s="443" t="s">
        <v>54</v>
      </c>
      <c r="J26" s="444" t="s">
        <v>54</v>
      </c>
      <c r="K26" s="444"/>
      <c r="L26"/>
      <c r="M26" s="239" t="s">
        <v>178</v>
      </c>
      <c r="N26" s="239" t="s">
        <v>330</v>
      </c>
      <c r="O26" s="239" t="s">
        <v>76</v>
      </c>
      <c r="P26" s="239" t="s">
        <v>413</v>
      </c>
      <c r="Q26" s="239" t="s">
        <v>288</v>
      </c>
    </row>
    <row r="27" spans="2:17" ht="32.25">
      <c r="B27" s="445">
        <f t="shared" si="0"/>
        <v>25</v>
      </c>
      <c r="C27" s="439" t="s">
        <v>197</v>
      </c>
      <c r="D27" s="440" t="s">
        <v>111</v>
      </c>
      <c r="E27" s="441" t="s">
        <v>205</v>
      </c>
      <c r="F27" s="442" t="s">
        <v>499</v>
      </c>
      <c r="G27" s="452" t="s">
        <v>294</v>
      </c>
      <c r="H27" s="443" t="str">
        <f xml:space="preserve"> _xlfn.UNICHAR(8304) &amp; "ㄧ"</f>
        <v>⁰ㄧ</v>
      </c>
      <c r="I27" s="443" t="s">
        <v>111</v>
      </c>
      <c r="J27" s="444" t="s">
        <v>392</v>
      </c>
      <c r="K27" s="444"/>
      <c r="L27"/>
      <c r="M27" s="239" t="s">
        <v>172</v>
      </c>
      <c r="N27" s="239" t="s">
        <v>320</v>
      </c>
      <c r="O27" s="239" t="s">
        <v>74</v>
      </c>
      <c r="P27" s="239" t="s">
        <v>74</v>
      </c>
      <c r="Q27" s="239" t="s">
        <v>289</v>
      </c>
    </row>
    <row r="28" spans="2:17" ht="32.25">
      <c r="B28" s="445">
        <f t="shared" si="0"/>
        <v>26</v>
      </c>
      <c r="C28" s="463" t="s">
        <v>194</v>
      </c>
      <c r="D28" s="440" t="s">
        <v>56</v>
      </c>
      <c r="E28" s="464" t="s">
        <v>170</v>
      </c>
      <c r="F28" s="442" t="s">
        <v>484</v>
      </c>
      <c r="G28" s="452" t="s">
        <v>170</v>
      </c>
      <c r="H28" s="465" t="s">
        <v>56</v>
      </c>
      <c r="I28" s="465" t="s">
        <v>56</v>
      </c>
      <c r="J28" s="444" t="s">
        <v>56</v>
      </c>
      <c r="K28" s="444"/>
      <c r="L28"/>
      <c r="M28" s="239" t="s">
        <v>347</v>
      </c>
      <c r="N28" s="239" t="s">
        <v>143</v>
      </c>
      <c r="O28" s="239" t="s">
        <v>346</v>
      </c>
      <c r="P28" s="239" t="s">
        <v>346</v>
      </c>
      <c r="Q28" s="239" t="s">
        <v>358</v>
      </c>
    </row>
    <row r="29" spans="2:17" ht="32.25">
      <c r="B29" s="445">
        <f t="shared" si="0"/>
        <v>27</v>
      </c>
      <c r="C29" s="439" t="s">
        <v>192</v>
      </c>
      <c r="D29" s="440" t="s">
        <v>113</v>
      </c>
      <c r="E29" s="441" t="s">
        <v>197</v>
      </c>
      <c r="F29" s="442" t="s">
        <v>498</v>
      </c>
      <c r="G29" s="452" t="s">
        <v>295</v>
      </c>
      <c r="H29" s="443" t="s">
        <v>548</v>
      </c>
      <c r="I29" s="443" t="s">
        <v>113</v>
      </c>
      <c r="J29" s="444" t="s">
        <v>379</v>
      </c>
      <c r="K29" s="444"/>
      <c r="L29"/>
      <c r="M29" s="239"/>
      <c r="N29" s="239"/>
      <c r="O29" s="239"/>
      <c r="P29" s="239"/>
      <c r="Q29" s="239"/>
    </row>
    <row r="30" spans="2:17" ht="32.25">
      <c r="B30" s="77">
        <f t="shared" si="0"/>
        <v>28</v>
      </c>
      <c r="C30" s="446" t="s">
        <v>182</v>
      </c>
      <c r="D30" s="447" t="s">
        <v>61</v>
      </c>
      <c r="E30" s="448" t="s">
        <v>234</v>
      </c>
      <c r="F30" s="449" t="s">
        <v>501</v>
      </c>
      <c r="G30" s="450" t="s">
        <v>234</v>
      </c>
      <c r="H30" s="451" t="s">
        <v>285</v>
      </c>
      <c r="I30" s="451" t="s">
        <v>61</v>
      </c>
      <c r="J30" s="444" t="s">
        <v>376</v>
      </c>
      <c r="K30" s="460"/>
      <c r="L30"/>
      <c r="M30" s="239">
        <v>2070</v>
      </c>
      <c r="N30" s="239">
        <v>8304</v>
      </c>
      <c r="O30" s="239"/>
      <c r="P30" s="239"/>
      <c r="Q30" s="239"/>
    </row>
    <row r="31" spans="2:17" ht="32.25">
      <c r="B31" s="77">
        <f t="shared" si="0"/>
        <v>29</v>
      </c>
      <c r="C31" s="439" t="s">
        <v>181</v>
      </c>
      <c r="D31" s="440" t="s">
        <v>119</v>
      </c>
      <c r="E31" s="441" t="s">
        <v>231</v>
      </c>
      <c r="F31" s="442" t="s">
        <v>500</v>
      </c>
      <c r="G31" s="452" t="s">
        <v>203</v>
      </c>
      <c r="H31" s="443" t="s">
        <v>1451</v>
      </c>
      <c r="I31" s="443" t="s">
        <v>119</v>
      </c>
      <c r="J31" s="444" t="s">
        <v>382</v>
      </c>
      <c r="K31" s="460"/>
      <c r="L31"/>
      <c r="M31" s="239" t="str">
        <f xml:space="preserve"> _xlfn.UNICHAR(8304)</f>
        <v>⁰</v>
      </c>
      <c r="N31" s="239" t="str">
        <f xml:space="preserve"> M31 &amp; RIGHT(H29)</f>
        <v>⁰ㄨ</v>
      </c>
      <c r="O31" s="239"/>
      <c r="P31" s="239"/>
      <c r="Q31" s="239"/>
    </row>
    <row r="32" spans="2:17" ht="32.25">
      <c r="B32" s="77">
        <f t="shared" si="0"/>
        <v>30</v>
      </c>
      <c r="C32" s="439" t="s">
        <v>37</v>
      </c>
      <c r="D32" s="440" t="s">
        <v>284</v>
      </c>
      <c r="E32" s="441" t="s">
        <v>65</v>
      </c>
      <c r="F32" s="442" t="s">
        <v>486</v>
      </c>
      <c r="G32" s="452" t="s">
        <v>65</v>
      </c>
      <c r="H32" s="443" t="s">
        <v>546</v>
      </c>
      <c r="I32" s="443" t="s">
        <v>284</v>
      </c>
      <c r="J32" s="444" t="s">
        <v>546</v>
      </c>
      <c r="K32" s="460"/>
      <c r="L32"/>
      <c r="M32" s="239" t="str">
        <f t="shared" ref="M32:M37" si="3" xml:space="preserve"> _xlfn.UNICHAR(8304)</f>
        <v>⁰</v>
      </c>
      <c r="N32" s="239" t="str">
        <f xml:space="preserve"> M32 &amp; RIGHT(H25)</f>
        <v>⁰ㄚ</v>
      </c>
      <c r="O32" s="239"/>
      <c r="P32" s="239"/>
      <c r="Q32" s="239"/>
    </row>
    <row r="33" spans="2:19" ht="32.25">
      <c r="B33" s="77">
        <f t="shared" si="0"/>
        <v>31</v>
      </c>
      <c r="C33" s="439" t="s">
        <v>207</v>
      </c>
      <c r="D33" s="440" t="s">
        <v>67</v>
      </c>
      <c r="E33" s="441" t="s">
        <v>201</v>
      </c>
      <c r="F33" s="442" t="s">
        <v>485</v>
      </c>
      <c r="G33" s="452" t="s">
        <v>244</v>
      </c>
      <c r="H33" s="443" t="s">
        <v>545</v>
      </c>
      <c r="I33" s="443" t="s">
        <v>67</v>
      </c>
      <c r="J33" s="444" t="s">
        <v>287</v>
      </c>
      <c r="K33" s="460"/>
      <c r="L33"/>
      <c r="M33" s="239" t="str">
        <f t="shared" si="3"/>
        <v>⁰</v>
      </c>
      <c r="N33" s="239" t="str">
        <f xml:space="preserve"> M33 &amp; RIGHT(H34)</f>
        <v>⁰ㄛ</v>
      </c>
      <c r="O33" s="239"/>
      <c r="P33" s="239"/>
      <c r="Q33" s="239"/>
    </row>
    <row r="34" spans="2:19" ht="32.25">
      <c r="B34" s="77">
        <f t="shared" si="0"/>
        <v>32</v>
      </c>
      <c r="C34" s="439" t="s">
        <v>205</v>
      </c>
      <c r="D34" s="440" t="s">
        <v>121</v>
      </c>
      <c r="E34" s="441" t="s">
        <v>319</v>
      </c>
      <c r="F34" s="442" t="s">
        <v>503</v>
      </c>
      <c r="G34" s="452" t="s">
        <v>204</v>
      </c>
      <c r="H34" s="443" t="s">
        <v>558</v>
      </c>
      <c r="I34" s="443" t="s">
        <v>121</v>
      </c>
      <c r="J34" s="444" t="s">
        <v>381</v>
      </c>
      <c r="K34" s="460"/>
      <c r="L34"/>
      <c r="M34" s="239" t="str">
        <f t="shared" si="3"/>
        <v>⁰</v>
      </c>
      <c r="N34" s="239" t="str">
        <f xml:space="preserve"> M34 &amp; RIGHT(H31)</f>
        <v>⁰ㄝ</v>
      </c>
      <c r="O34" s="239"/>
      <c r="P34" s="239"/>
      <c r="Q34" s="239"/>
    </row>
    <row r="35" spans="2:19" ht="32.25">
      <c r="B35" s="77">
        <f t="shared" si="0"/>
        <v>33</v>
      </c>
      <c r="C35" s="446" t="s">
        <v>199</v>
      </c>
      <c r="D35" s="447" t="s">
        <v>189</v>
      </c>
      <c r="E35" s="448" t="s">
        <v>343</v>
      </c>
      <c r="F35" s="442" t="s">
        <v>71</v>
      </c>
      <c r="G35" s="450" t="s">
        <v>235</v>
      </c>
      <c r="H35" s="451" t="s">
        <v>189</v>
      </c>
      <c r="I35" s="451" t="s">
        <v>189</v>
      </c>
      <c r="J35" s="444" t="s">
        <v>189</v>
      </c>
      <c r="K35" s="460"/>
      <c r="L35"/>
      <c r="M35" s="239" t="str">
        <f t="shared" si="3"/>
        <v>⁰</v>
      </c>
      <c r="N35" s="239" t="str">
        <f xml:space="preserve"> M35 &amp; RIGHT(H36)</f>
        <v>⁰ㄞ</v>
      </c>
      <c r="O35" s="239"/>
      <c r="P35" s="239"/>
      <c r="Q35" s="239"/>
    </row>
    <row r="36" spans="2:19" ht="32.25">
      <c r="B36" s="77">
        <f t="shared" si="0"/>
        <v>34</v>
      </c>
      <c r="C36" s="439" t="s">
        <v>188</v>
      </c>
      <c r="D36" s="440" t="s">
        <v>117</v>
      </c>
      <c r="E36" s="441" t="s">
        <v>278</v>
      </c>
      <c r="F36" s="442" t="s">
        <v>527</v>
      </c>
      <c r="G36" s="452" t="s">
        <v>202</v>
      </c>
      <c r="H36" s="443" t="s">
        <v>550</v>
      </c>
      <c r="I36" s="443" t="s">
        <v>117</v>
      </c>
      <c r="J36" s="444" t="s">
        <v>383</v>
      </c>
      <c r="K36" s="460"/>
      <c r="L36"/>
      <c r="M36" s="239" t="str">
        <f t="shared" si="3"/>
        <v>⁰</v>
      </c>
      <c r="N36" s="239" t="str">
        <f xml:space="preserve"> M36 &amp; RIGHT(H38)</f>
        <v>⁰ㄠ</v>
      </c>
      <c r="O36" s="239"/>
      <c r="P36" s="239"/>
      <c r="Q36" s="239"/>
    </row>
    <row r="37" spans="2:19" ht="32.25">
      <c r="B37" s="77">
        <f t="shared" si="0"/>
        <v>35</v>
      </c>
      <c r="C37" s="439" t="s">
        <v>86</v>
      </c>
      <c r="D37" s="440" t="s">
        <v>72</v>
      </c>
      <c r="E37" s="441" t="s">
        <v>237</v>
      </c>
      <c r="F37" s="442" t="s">
        <v>1467</v>
      </c>
      <c r="G37" s="452" t="s">
        <v>232</v>
      </c>
      <c r="H37" s="443" t="s">
        <v>72</v>
      </c>
      <c r="I37" s="443" t="s">
        <v>72</v>
      </c>
      <c r="J37" s="444" t="s">
        <v>72</v>
      </c>
      <c r="K37" s="460"/>
      <c r="L37"/>
      <c r="M37" s="239" t="str">
        <f t="shared" si="3"/>
        <v>⁰</v>
      </c>
      <c r="N37" s="239" t="str">
        <f xml:space="preserve"> M37 &amp; RIGHT(H40)</f>
        <v>⁰ㄇ</v>
      </c>
      <c r="O37" s="239"/>
      <c r="P37" s="239"/>
      <c r="Q37" s="239"/>
    </row>
    <row r="38" spans="2:19" ht="32.25">
      <c r="B38" s="78">
        <f t="shared" si="0"/>
        <v>36</v>
      </c>
      <c r="C38" s="73" t="s">
        <v>291</v>
      </c>
      <c r="D38" s="42" t="s">
        <v>123</v>
      </c>
      <c r="E38" s="265" t="s">
        <v>328</v>
      </c>
      <c r="F38" s="294" t="s">
        <v>528</v>
      </c>
      <c r="G38" s="461" t="s">
        <v>200</v>
      </c>
      <c r="H38" s="360" t="s">
        <v>551</v>
      </c>
      <c r="I38" s="360" t="s">
        <v>123</v>
      </c>
      <c r="J38" s="266" t="s">
        <v>384</v>
      </c>
      <c r="K38" s="462"/>
      <c r="L38"/>
      <c r="M38" s="239"/>
      <c r="N38" s="239"/>
      <c r="O38" s="239"/>
      <c r="P38" s="239"/>
      <c r="Q38" s="239"/>
    </row>
    <row r="39" spans="2:19" ht="32.25">
      <c r="B39" s="94">
        <f t="shared" si="0"/>
        <v>37</v>
      </c>
      <c r="C39" s="71" t="s">
        <v>171</v>
      </c>
      <c r="D39" s="32" t="s">
        <v>345</v>
      </c>
      <c r="E39" s="192" t="s">
        <v>321</v>
      </c>
      <c r="F39" s="295" t="s">
        <v>536</v>
      </c>
      <c r="G39" s="219" t="s">
        <v>297</v>
      </c>
      <c r="H39" s="359" t="s">
        <v>547</v>
      </c>
      <c r="I39" s="359" t="s">
        <v>1454</v>
      </c>
      <c r="J39" s="237" t="s">
        <v>296</v>
      </c>
      <c r="K39" s="237"/>
      <c r="L39"/>
      <c r="M39" s="239"/>
      <c r="N39" s="239"/>
      <c r="O39" s="239"/>
      <c r="P39" s="239"/>
      <c r="Q39" s="239"/>
    </row>
    <row r="40" spans="2:19" ht="32.25">
      <c r="B40" s="94">
        <f t="shared" si="0"/>
        <v>38</v>
      </c>
      <c r="C40" s="71" t="s">
        <v>286</v>
      </c>
      <c r="D40" s="32" t="s">
        <v>99</v>
      </c>
      <c r="E40" s="192" t="s">
        <v>277</v>
      </c>
      <c r="F40" s="295" t="s">
        <v>100</v>
      </c>
      <c r="G40" s="219" t="s">
        <v>175</v>
      </c>
      <c r="H40" s="359" t="s">
        <v>292</v>
      </c>
      <c r="I40" s="359" t="s">
        <v>1455</v>
      </c>
      <c r="J40" s="237" t="s">
        <v>385</v>
      </c>
      <c r="K40" s="237"/>
      <c r="L40"/>
      <c r="M40" s="239"/>
      <c r="N40" s="239"/>
      <c r="O40" s="239"/>
      <c r="P40" s="239"/>
      <c r="Q40" s="239"/>
    </row>
    <row r="41" spans="2:19" ht="32.25">
      <c r="B41" s="303">
        <f t="shared" si="0"/>
        <v>39</v>
      </c>
      <c r="C41" s="304" t="s">
        <v>69</v>
      </c>
      <c r="D41" s="306" t="s">
        <v>125</v>
      </c>
      <c r="E41" s="305" t="s">
        <v>274</v>
      </c>
      <c r="F41" s="308" t="s">
        <v>1441</v>
      </c>
      <c r="G41" s="309" t="s">
        <v>173</v>
      </c>
      <c r="H41" s="359" t="s">
        <v>378</v>
      </c>
      <c r="I41" s="359" t="s">
        <v>378</v>
      </c>
      <c r="J41" s="307" t="s">
        <v>378</v>
      </c>
      <c r="K41" s="237"/>
      <c r="L41"/>
      <c r="M41" s="239"/>
      <c r="N41" s="239"/>
      <c r="O41" s="239"/>
      <c r="P41" s="239"/>
      <c r="Q41" s="239"/>
    </row>
    <row r="42" spans="2:19" ht="32.25">
      <c r="B42" s="94">
        <f t="shared" si="0"/>
        <v>40</v>
      </c>
      <c r="C42" s="71" t="s">
        <v>142</v>
      </c>
      <c r="D42" s="32" t="s">
        <v>144</v>
      </c>
      <c r="E42" s="192" t="s">
        <v>298</v>
      </c>
      <c r="F42" s="295" t="s">
        <v>530</v>
      </c>
      <c r="G42" s="219" t="s">
        <v>350</v>
      </c>
      <c r="H42" s="359" t="s">
        <v>377</v>
      </c>
      <c r="I42" s="359" t="s">
        <v>1457</v>
      </c>
      <c r="J42" s="237" t="s">
        <v>377</v>
      </c>
      <c r="K42" s="237"/>
      <c r="L42"/>
      <c r="M42" s="239"/>
      <c r="N42" s="239"/>
      <c r="O42" s="239"/>
      <c r="P42" s="239"/>
      <c r="Q42" s="239"/>
    </row>
    <row r="43" spans="2:19" ht="32.25">
      <c r="B43" s="94">
        <f t="shared" si="0"/>
        <v>41</v>
      </c>
      <c r="C43" s="71" t="s">
        <v>180</v>
      </c>
      <c r="D43" s="32" t="s">
        <v>97</v>
      </c>
      <c r="E43" s="192" t="s">
        <v>354</v>
      </c>
      <c r="F43" s="295" t="s">
        <v>489</v>
      </c>
      <c r="G43" s="219" t="s">
        <v>157</v>
      </c>
      <c r="H43" s="359" t="s">
        <v>97</v>
      </c>
      <c r="I43" s="359" t="s">
        <v>97</v>
      </c>
      <c r="J43" s="237" t="s">
        <v>97</v>
      </c>
      <c r="K43" s="237"/>
      <c r="L43"/>
      <c r="M43" s="239">
        <f xml:space="preserve"> _xlfn.UNICODE(注音編碼對照表[[#This Row],[我的注音符號]])</f>
        <v>12578</v>
      </c>
      <c r="N43" s="239" t="str">
        <f xml:space="preserve"> DEC2HEX(M43)</f>
        <v>3122</v>
      </c>
      <c r="O43" s="239"/>
      <c r="P43" s="239"/>
      <c r="Q43" s="239"/>
    </row>
    <row r="44" spans="2:19" ht="32.25">
      <c r="B44" s="94">
        <f t="shared" si="0"/>
        <v>42</v>
      </c>
      <c r="C44" s="71" t="s">
        <v>178</v>
      </c>
      <c r="D44" s="32" t="s">
        <v>76</v>
      </c>
      <c r="E44" s="192" t="s">
        <v>330</v>
      </c>
      <c r="F44" s="314" t="s">
        <v>471</v>
      </c>
      <c r="G44" s="219" t="s">
        <v>288</v>
      </c>
      <c r="H44" s="359" t="s">
        <v>76</v>
      </c>
      <c r="I44" s="359" t="s">
        <v>76</v>
      </c>
      <c r="J44" s="237" t="s">
        <v>414</v>
      </c>
      <c r="K44" s="237"/>
      <c r="L44"/>
      <c r="M44" s="239"/>
      <c r="N44" s="239"/>
      <c r="O44" s="239"/>
      <c r="P44" s="239"/>
      <c r="Q44" s="239"/>
    </row>
    <row r="45" spans="2:19" ht="32.25">
      <c r="B45" s="94">
        <f t="shared" si="0"/>
        <v>43</v>
      </c>
      <c r="C45" s="71" t="s">
        <v>176</v>
      </c>
      <c r="D45" s="32" t="s">
        <v>95</v>
      </c>
      <c r="E45" s="192" t="s">
        <v>169</v>
      </c>
      <c r="F45" s="295" t="s">
        <v>491</v>
      </c>
      <c r="G45" s="219" t="s">
        <v>150</v>
      </c>
      <c r="H45" s="359" t="s">
        <v>95</v>
      </c>
      <c r="I45" s="359" t="s">
        <v>95</v>
      </c>
      <c r="J45" s="237" t="s">
        <v>95</v>
      </c>
      <c r="K45" s="237" t="s">
        <v>493</v>
      </c>
      <c r="L45"/>
      <c r="M45" s="239" t="s">
        <v>1450</v>
      </c>
      <c r="N45" s="239"/>
      <c r="O45" s="239"/>
      <c r="P45" s="239"/>
      <c r="Q45" s="239"/>
    </row>
    <row r="46" spans="2:19" ht="32.25">
      <c r="B46" s="94">
        <f t="shared" si="0"/>
        <v>44</v>
      </c>
      <c r="C46" s="107" t="s">
        <v>66</v>
      </c>
      <c r="D46" s="32" t="s">
        <v>101</v>
      </c>
      <c r="E46" s="192" t="s">
        <v>258</v>
      </c>
      <c r="F46" s="295" t="s">
        <v>525</v>
      </c>
      <c r="G46" s="219" t="s">
        <v>149</v>
      </c>
      <c r="H46" s="359" t="s">
        <v>559</v>
      </c>
      <c r="I46" s="359" t="s">
        <v>1456</v>
      </c>
      <c r="J46" s="237" t="s">
        <v>526</v>
      </c>
      <c r="K46" s="237"/>
      <c r="L46"/>
      <c r="M46" s="239"/>
      <c r="N46" s="239"/>
      <c r="O46" s="239"/>
      <c r="P46" s="239"/>
      <c r="Q46" s="239"/>
    </row>
    <row r="47" spans="2:19" ht="32.25">
      <c r="B47" s="94">
        <f t="shared" si="0"/>
        <v>45</v>
      </c>
      <c r="C47" s="71" t="s">
        <v>172</v>
      </c>
      <c r="D47" s="32" t="s">
        <v>74</v>
      </c>
      <c r="E47" s="192" t="s">
        <v>320</v>
      </c>
      <c r="F47" s="295" t="s">
        <v>531</v>
      </c>
      <c r="G47" s="219" t="s">
        <v>289</v>
      </c>
      <c r="H47" s="359" t="s">
        <v>387</v>
      </c>
      <c r="I47" s="359" t="s">
        <v>1453</v>
      </c>
      <c r="J47" s="237" t="s">
        <v>141</v>
      </c>
      <c r="K47" s="237"/>
      <c r="L47"/>
      <c r="M47" s="414" t="s">
        <v>1519</v>
      </c>
      <c r="N47" s="415"/>
      <c r="O47" s="414"/>
      <c r="P47" s="414"/>
      <c r="Q47" s="414" t="s">
        <v>1485</v>
      </c>
      <c r="R47" s="414"/>
    </row>
    <row r="48" spans="2:19" ht="32.25">
      <c r="B48" s="94">
        <f t="shared" si="0"/>
        <v>46</v>
      </c>
      <c r="C48" s="71" t="s">
        <v>522</v>
      </c>
      <c r="D48" s="108" t="s">
        <v>520</v>
      </c>
      <c r="E48" s="312" t="s">
        <v>521</v>
      </c>
      <c r="F48" s="295" t="s">
        <v>537</v>
      </c>
      <c r="G48" s="219" t="s">
        <v>358</v>
      </c>
      <c r="H48" s="359" t="s">
        <v>1524</v>
      </c>
      <c r="I48" s="359" t="s">
        <v>1476</v>
      </c>
      <c r="J48" s="237" t="s">
        <v>520</v>
      </c>
      <c r="K48" s="237"/>
      <c r="L48"/>
      <c r="M48" s="412" t="s">
        <v>1513</v>
      </c>
      <c r="N48"/>
      <c r="Q48" s="412" t="s">
        <v>1507</v>
      </c>
      <c r="R48" s="410"/>
      <c r="S48" s="410"/>
    </row>
    <row r="49" spans="2:19" ht="32.25">
      <c r="B49" s="94">
        <f t="shared" si="0"/>
        <v>47</v>
      </c>
      <c r="C49" s="71" t="str">
        <f xml:space="preserve"> CHAR(32)</f>
        <v xml:space="preserve"> </v>
      </c>
      <c r="D49" s="32" t="s">
        <v>300</v>
      </c>
      <c r="E49" s="192" t="s">
        <v>1527</v>
      </c>
      <c r="F49" s="295"/>
      <c r="G49" s="219">
        <v>1</v>
      </c>
      <c r="H49" s="359">
        <v>1</v>
      </c>
      <c r="I49" s="359" t="s">
        <v>300</v>
      </c>
      <c r="J49" s="237" t="s">
        <v>300</v>
      </c>
      <c r="K49" s="237"/>
      <c r="L49"/>
      <c r="M49" s="412" t="s">
        <v>1514</v>
      </c>
      <c r="N49"/>
      <c r="Q49" s="412" t="s">
        <v>1508</v>
      </c>
      <c r="R49" s="410"/>
      <c r="S49" s="410"/>
    </row>
    <row r="50" spans="2:19" ht="32.25">
      <c r="B50" s="94">
        <f t="shared" si="0"/>
        <v>48</v>
      </c>
      <c r="C50" s="71" t="s">
        <v>156</v>
      </c>
      <c r="D50" s="32" t="s">
        <v>106</v>
      </c>
      <c r="E50" s="192" t="s">
        <v>1528</v>
      </c>
      <c r="F50" s="295"/>
      <c r="G50" s="219">
        <v>5</v>
      </c>
      <c r="H50" s="359">
        <v>5</v>
      </c>
      <c r="I50" s="359" t="s">
        <v>106</v>
      </c>
      <c r="J50" s="237" t="s">
        <v>106</v>
      </c>
      <c r="K50" s="237"/>
      <c r="L50"/>
      <c r="M50" s="412" t="s">
        <v>1509</v>
      </c>
      <c r="N50"/>
      <c r="Q50" s="412" t="s">
        <v>1509</v>
      </c>
      <c r="R50" s="411"/>
      <c r="S50" s="411"/>
    </row>
    <row r="51" spans="2:19" ht="32.25">
      <c r="B51" s="94">
        <f t="shared" si="0"/>
        <v>49</v>
      </c>
      <c r="C51" s="71" t="s">
        <v>167</v>
      </c>
      <c r="D51" s="32" t="s">
        <v>104</v>
      </c>
      <c r="E51" s="192" t="s">
        <v>1529</v>
      </c>
      <c r="F51" s="295"/>
      <c r="G51" s="219">
        <v>2</v>
      </c>
      <c r="H51" s="359">
        <v>2</v>
      </c>
      <c r="I51" s="359" t="s">
        <v>104</v>
      </c>
      <c r="J51" s="237" t="s">
        <v>104</v>
      </c>
      <c r="K51" s="237"/>
      <c r="L51"/>
      <c r="M51" s="412" t="s">
        <v>1515</v>
      </c>
      <c r="N51"/>
      <c r="Q51" s="412" t="s">
        <v>1510</v>
      </c>
      <c r="R51" s="410"/>
      <c r="S51" s="410"/>
    </row>
    <row r="52" spans="2:19" ht="32.25">
      <c r="B52" s="94">
        <f t="shared" si="0"/>
        <v>50</v>
      </c>
      <c r="C52" s="71" t="s">
        <v>166</v>
      </c>
      <c r="D52" s="32" t="s">
        <v>1525</v>
      </c>
      <c r="E52" s="192" t="s">
        <v>1530</v>
      </c>
      <c r="F52" s="295"/>
      <c r="G52" s="219">
        <v>3</v>
      </c>
      <c r="H52" s="359">
        <v>3</v>
      </c>
      <c r="I52" s="359" t="s">
        <v>1458</v>
      </c>
      <c r="J52" s="237" t="s">
        <v>105</v>
      </c>
      <c r="K52" s="237"/>
      <c r="L52"/>
      <c r="M52" s="412" t="s">
        <v>1516</v>
      </c>
      <c r="N52"/>
      <c r="Q52" s="412" t="s">
        <v>1511</v>
      </c>
      <c r="R52" s="411"/>
      <c r="S52" s="411"/>
    </row>
    <row r="53" spans="2:19" ht="32.25">
      <c r="B53" s="94">
        <f t="shared" si="0"/>
        <v>51</v>
      </c>
      <c r="C53" s="71" t="s">
        <v>154</v>
      </c>
      <c r="D53" s="32" t="s">
        <v>107</v>
      </c>
      <c r="E53" s="192" t="s">
        <v>1531</v>
      </c>
      <c r="F53" s="295"/>
      <c r="G53" s="219">
        <v>7</v>
      </c>
      <c r="H53" s="359">
        <v>7</v>
      </c>
      <c r="I53" s="367" t="s">
        <v>1459</v>
      </c>
      <c r="J53" s="237" t="s">
        <v>107</v>
      </c>
      <c r="K53" s="237"/>
      <c r="L53"/>
      <c r="M53" s="412" t="s">
        <v>1517</v>
      </c>
      <c r="N53"/>
      <c r="Q53" s="412" t="s">
        <v>1512</v>
      </c>
      <c r="R53" s="410"/>
      <c r="S53" s="410"/>
    </row>
    <row r="54" spans="2:19" ht="32.25">
      <c r="B54" s="94">
        <f t="shared" si="0"/>
        <v>52</v>
      </c>
      <c r="C54" s="71" t="s">
        <v>151</v>
      </c>
      <c r="D54" s="32" t="s">
        <v>108</v>
      </c>
      <c r="E54" s="192" t="s">
        <v>1532</v>
      </c>
      <c r="F54" s="295"/>
      <c r="G54" s="219" t="s">
        <v>351</v>
      </c>
      <c r="H54" s="359">
        <v>0</v>
      </c>
      <c r="I54" s="359" t="s">
        <v>108</v>
      </c>
      <c r="J54" s="237" t="s">
        <v>108</v>
      </c>
      <c r="K54" s="237"/>
      <c r="L54"/>
      <c r="M54" s="412" t="s">
        <v>1518</v>
      </c>
      <c r="N54"/>
    </row>
    <row r="55" spans="2:19">
      <c r="L55"/>
      <c r="M55"/>
      <c r="N55"/>
      <c r="P55" s="413"/>
    </row>
    <row r="57" spans="2:19" ht="32.25">
      <c r="B57" s="303">
        <f t="shared" si="0"/>
        <v>55</v>
      </c>
      <c r="C57" s="304" t="s">
        <v>1500</v>
      </c>
      <c r="D57" s="406" t="s">
        <v>128</v>
      </c>
      <c r="E57" s="305" t="str">
        <f xml:space="preserve"> IFERROR( INDEX(#REF!, MATCH($AJ56,#REF!, 0)), "")</f>
        <v/>
      </c>
      <c r="F57" s="308" t="s">
        <v>532</v>
      </c>
      <c r="G57" s="309" t="s">
        <v>368</v>
      </c>
      <c r="H57" s="305"/>
      <c r="I57" s="306" t="s">
        <v>128</v>
      </c>
      <c r="J57" s="307" t="s">
        <v>128</v>
      </c>
      <c r="K57" s="307"/>
      <c r="M57" s="409" t="s">
        <v>1503</v>
      </c>
    </row>
    <row r="58" spans="2:19" ht="32.25">
      <c r="B58" s="303">
        <f t="shared" si="0"/>
        <v>56</v>
      </c>
      <c r="C58" s="304" t="s">
        <v>1501</v>
      </c>
      <c r="D58" s="407" t="s">
        <v>130</v>
      </c>
      <c r="E58" s="305" t="str">
        <f xml:space="preserve"> IFERROR( INDEX(#REF!, MATCH($AJ57,#REF!, 0)), "")</f>
        <v/>
      </c>
      <c r="F58" s="308" t="s">
        <v>533</v>
      </c>
      <c r="G58" s="309" t="s">
        <v>369</v>
      </c>
      <c r="H58" s="305"/>
      <c r="I58" s="306" t="s">
        <v>130</v>
      </c>
      <c r="J58" s="307" t="s">
        <v>130</v>
      </c>
      <c r="K58" s="307"/>
      <c r="M58" s="409" t="s">
        <v>1504</v>
      </c>
    </row>
    <row r="59" spans="2:19" ht="32.25">
      <c r="B59" s="303">
        <f t="shared" si="0"/>
        <v>57</v>
      </c>
      <c r="C59" s="304" t="s">
        <v>1502</v>
      </c>
      <c r="D59" s="407" t="s">
        <v>132</v>
      </c>
      <c r="E59" s="305" t="str">
        <f xml:space="preserve"> IFERROR( INDEX(#REF!, MATCH($AJ58,#REF!, 0)), "")</f>
        <v/>
      </c>
      <c r="F59" s="308" t="s">
        <v>534</v>
      </c>
      <c r="G59" s="309" t="s">
        <v>370</v>
      </c>
      <c r="H59" s="305"/>
      <c r="I59" s="306" t="s">
        <v>132</v>
      </c>
      <c r="J59" s="307" t="s">
        <v>132</v>
      </c>
      <c r="K59" s="307"/>
      <c r="M59" s="409" t="s">
        <v>1505</v>
      </c>
    </row>
    <row r="60" spans="2:19" ht="32.25">
      <c r="B60" s="303">
        <f t="shared" si="0"/>
        <v>58</v>
      </c>
      <c r="C60" s="304" t="s">
        <v>1499</v>
      </c>
      <c r="D60" s="407" t="s">
        <v>134</v>
      </c>
      <c r="E60" s="305" t="str">
        <f xml:space="preserve"> IFERROR( INDEX(#REF!, MATCH($AJ59,#REF!, 0)), "")</f>
        <v/>
      </c>
      <c r="F60" s="308" t="s">
        <v>535</v>
      </c>
      <c r="G60" s="309" t="s">
        <v>371</v>
      </c>
      <c r="H60" s="305"/>
      <c r="I60" s="306" t="s">
        <v>388</v>
      </c>
      <c r="J60" s="307" t="s">
        <v>134</v>
      </c>
      <c r="K60" s="307"/>
      <c r="M60" s="409" t="s">
        <v>1506</v>
      </c>
    </row>
    <row r="61" spans="2:19" ht="21">
      <c r="B61"/>
      <c r="C61"/>
      <c r="D61"/>
      <c r="E61"/>
      <c r="F61"/>
      <c r="G61"/>
      <c r="K61"/>
      <c r="L61"/>
      <c r="M61" s="408"/>
      <c r="N61"/>
    </row>
    <row r="62" spans="2:19" ht="32.25">
      <c r="B62" s="303">
        <f t="shared" ref="B62:B67" si="4">ROW() - 2</f>
        <v>60</v>
      </c>
      <c r="C62" s="304" t="str">
        <f xml:space="preserve"> IFERROR( INDEX(#REF!, MATCH($AE30,#REF!, 0)), "")</f>
        <v/>
      </c>
      <c r="D62" s="305"/>
      <c r="E62" s="305" t="str">
        <f xml:space="preserve"> IFERROR( INDEX(#REF!, MATCH($AE30,#REF!, 0)), "")</f>
        <v/>
      </c>
      <c r="F62" s="308" t="s">
        <v>490</v>
      </c>
      <c r="G62" s="313" t="s">
        <v>523</v>
      </c>
      <c r="H62" s="305"/>
      <c r="I62" s="306"/>
      <c r="J62" s="307" t="s">
        <v>524</v>
      </c>
      <c r="K62" s="311" t="s">
        <v>492</v>
      </c>
    </row>
    <row r="63" spans="2:19" ht="32.25">
      <c r="B63" s="303">
        <f t="shared" si="4"/>
        <v>61</v>
      </c>
      <c r="C63" s="304" t="str">
        <f xml:space="preserve"> IFERROR( INDEX(#REF!, MATCH($AE31,#REF!, 0)), "")</f>
        <v/>
      </c>
      <c r="D63" s="305"/>
      <c r="E63" s="305" t="str">
        <f xml:space="preserve"> IFERROR( INDEX(#REF!, MATCH($AE31,#REF!, 0)), "")</f>
        <v/>
      </c>
      <c r="F63" s="308" t="s">
        <v>512</v>
      </c>
      <c r="G63" s="309" t="s">
        <v>513</v>
      </c>
      <c r="H63" s="305"/>
      <c r="I63" s="306"/>
      <c r="J63" s="307" t="s">
        <v>511</v>
      </c>
      <c r="K63" s="311"/>
    </row>
    <row r="64" spans="2:19" ht="32.25">
      <c r="B64" s="303">
        <f t="shared" si="4"/>
        <v>62</v>
      </c>
      <c r="C64" s="304" t="str">
        <f xml:space="preserve"> IFERROR( INDEX(#REF!, MATCH($AE32,#REF!, 0)), "")</f>
        <v/>
      </c>
      <c r="D64" s="305"/>
      <c r="E64" s="305" t="str">
        <f xml:space="preserve"> IFERROR( INDEX(#REF!, MATCH($AE32,#REF!, 0)), "")</f>
        <v/>
      </c>
      <c r="F64" s="308" t="s">
        <v>509</v>
      </c>
      <c r="G64" s="309" t="s">
        <v>510</v>
      </c>
      <c r="H64" s="305"/>
      <c r="I64" s="306"/>
      <c r="J64" s="307" t="s">
        <v>508</v>
      </c>
      <c r="K64" s="310"/>
    </row>
    <row r="65" spans="2:15" ht="32.25">
      <c r="B65" s="303">
        <f t="shared" si="4"/>
        <v>63</v>
      </c>
      <c r="C65" s="304" t="str">
        <f xml:space="preserve"> IFERROR( INDEX(#REF!, MATCH($AE34,#REF!, 0)), "")</f>
        <v/>
      </c>
      <c r="D65" s="305"/>
      <c r="E65" s="305" t="str">
        <f xml:space="preserve"> IFERROR( INDEX(#REF!, MATCH($AE34,#REF!, 0)), "")</f>
        <v/>
      </c>
      <c r="F65" s="308" t="s">
        <v>495</v>
      </c>
      <c r="G65" s="309" t="s">
        <v>496</v>
      </c>
      <c r="H65" s="305"/>
      <c r="I65" s="306"/>
      <c r="J65" s="307" t="s">
        <v>497</v>
      </c>
      <c r="K65" s="310" t="s">
        <v>494</v>
      </c>
    </row>
    <row r="66" spans="2:15" ht="32.25">
      <c r="B66" s="303">
        <f t="shared" si="4"/>
        <v>64</v>
      </c>
      <c r="C66" s="304" t="str">
        <f xml:space="preserve"> IFERROR( INDEX(#REF!, MATCH($AE36,#REF!, 0)), "")</f>
        <v/>
      </c>
      <c r="D66" s="305"/>
      <c r="E66" s="305" t="str">
        <f xml:space="preserve"> IFERROR( INDEX(#REF!, MATCH($AE36,#REF!, 0)), "")</f>
        <v/>
      </c>
      <c r="F66" s="308" t="s">
        <v>486</v>
      </c>
      <c r="G66" s="309" t="s">
        <v>507</v>
      </c>
      <c r="H66" s="305"/>
      <c r="I66" s="306"/>
      <c r="J66" s="307" t="s">
        <v>504</v>
      </c>
      <c r="K66" s="310"/>
    </row>
    <row r="67" spans="2:15" ht="32.25">
      <c r="B67" s="303">
        <f t="shared" si="4"/>
        <v>65</v>
      </c>
      <c r="C67" s="304" t="str">
        <f xml:space="preserve"> IFERROR( INDEX(#REF!, MATCH($AE37,#REF!, 0)), "")</f>
        <v/>
      </c>
      <c r="D67" s="305"/>
      <c r="E67" s="305" t="str">
        <f xml:space="preserve"> IFERROR( INDEX(#REF!, MATCH($AE37,#REF!, 0)), "")</f>
        <v/>
      </c>
      <c r="F67" s="308" t="s">
        <v>488</v>
      </c>
      <c r="G67" s="309" t="s">
        <v>506</v>
      </c>
      <c r="H67" s="305"/>
      <c r="I67" s="306"/>
      <c r="J67" s="307" t="s">
        <v>505</v>
      </c>
      <c r="K67" s="310"/>
    </row>
    <row r="68" spans="2:15" ht="22.5">
      <c r="B68"/>
      <c r="C68"/>
      <c r="D68"/>
      <c r="E68"/>
      <c r="F68"/>
      <c r="G68"/>
      <c r="K68"/>
      <c r="L68"/>
      <c r="M68"/>
    </row>
    <row r="69" spans="2:15" ht="21">
      <c r="B69"/>
      <c r="C69"/>
      <c r="D69"/>
      <c r="E69"/>
      <c r="F69"/>
      <c r="G69"/>
      <c r="K69"/>
      <c r="L69"/>
      <c r="M69"/>
      <c r="N69" s="416"/>
    </row>
    <row r="70" spans="2:15" ht="21">
      <c r="B70"/>
      <c r="C70"/>
      <c r="D70"/>
      <c r="E70"/>
      <c r="F70" s="417" t="s">
        <v>1520</v>
      </c>
      <c r="G70" s="417" t="s">
        <v>1521</v>
      </c>
      <c r="H70" s="417" t="s">
        <v>1522</v>
      </c>
      <c r="K70"/>
      <c r="L70"/>
      <c r="M70"/>
      <c r="N70"/>
      <c r="O70" s="416"/>
    </row>
    <row r="71" spans="2:15" ht="28.5">
      <c r="C71" s="238" t="s">
        <v>393</v>
      </c>
      <c r="D71" s="235" t="s">
        <v>403</v>
      </c>
      <c r="E71" s="235"/>
      <c r="F71" s="418">
        <f xml:space="preserve"> _xlfn.UNICODE(D71)</f>
        <v>63696</v>
      </c>
      <c r="G71" s="419" t="str">
        <f xml:space="preserve"> DEC2HEX(F71)</f>
        <v>F8D0</v>
      </c>
      <c r="H71" s="420" t="str">
        <f xml:space="preserve"> _xlfn.UNICHAR( HEX2DEC(G71))</f>
        <v></v>
      </c>
      <c r="K71"/>
      <c r="L71"/>
      <c r="M71"/>
      <c r="N71"/>
    </row>
    <row r="72" spans="2:15" ht="28.5">
      <c r="C72" s="238" t="s">
        <v>394</v>
      </c>
      <c r="D72" s="11" t="s">
        <v>404</v>
      </c>
      <c r="E72" s="11"/>
      <c r="F72" s="418">
        <f xml:space="preserve"> _xlfn.UNICODE(D72)</f>
        <v>63697</v>
      </c>
      <c r="G72" s="419" t="str">
        <f t="shared" ref="G72:G87" si="5" xml:space="preserve"> DEC2HEX(F72)</f>
        <v>F8D1</v>
      </c>
      <c r="H72" s="420" t="str">
        <f t="shared" ref="H72:H87" si="6" xml:space="preserve"> _xlfn.UNICHAR( HEX2DEC(G72))</f>
        <v></v>
      </c>
      <c r="K72"/>
      <c r="L72"/>
      <c r="M72"/>
      <c r="N72"/>
    </row>
    <row r="73" spans="2:15" ht="28.5">
      <c r="C73" s="238" t="s">
        <v>395</v>
      </c>
      <c r="D73" s="11" t="s">
        <v>405</v>
      </c>
      <c r="E73" s="11"/>
      <c r="F73" s="418">
        <f xml:space="preserve"> _xlfn.UNICODE(D73)</f>
        <v>63698</v>
      </c>
      <c r="G73" s="419" t="str">
        <f t="shared" si="5"/>
        <v>F8D2</v>
      </c>
      <c r="H73" s="420" t="str">
        <f t="shared" si="6"/>
        <v></v>
      </c>
      <c r="K73"/>
      <c r="L73"/>
      <c r="M73"/>
      <c r="N73"/>
    </row>
    <row r="74" spans="2:15" ht="28.5">
      <c r="C74" s="238" t="s">
        <v>396</v>
      </c>
      <c r="D74" s="11" t="s">
        <v>406</v>
      </c>
      <c r="E74" s="11"/>
      <c r="F74" s="418">
        <f xml:space="preserve"> _xlfn.UNICODE(D74)</f>
        <v>63699</v>
      </c>
      <c r="G74" s="419" t="str">
        <f t="shared" si="5"/>
        <v>F8D3</v>
      </c>
      <c r="H74" s="420" t="str">
        <f t="shared" si="6"/>
        <v></v>
      </c>
      <c r="K74"/>
      <c r="L74"/>
      <c r="M74"/>
      <c r="N74"/>
    </row>
    <row r="75" spans="2:15" ht="28.5">
      <c r="D75" s="11"/>
      <c r="E75" s="11"/>
      <c r="F75" s="418"/>
      <c r="G75" s="419"/>
      <c r="H75" s="420"/>
      <c r="K75"/>
      <c r="L75"/>
      <c r="M75"/>
      <c r="N75"/>
    </row>
    <row r="76" spans="2:15" ht="28.5">
      <c r="C76" s="238" t="s">
        <v>397</v>
      </c>
      <c r="D76" s="11" t="s">
        <v>407</v>
      </c>
      <c r="E76" s="11"/>
      <c r="F76" s="418">
        <f xml:space="preserve"> _xlfn.UNICODE(D76)</f>
        <v>63712</v>
      </c>
      <c r="G76" s="419" t="str">
        <f t="shared" si="5"/>
        <v>F8E0</v>
      </c>
      <c r="H76" s="420" t="str">
        <f t="shared" si="6"/>
        <v></v>
      </c>
      <c r="K76"/>
      <c r="L76"/>
      <c r="M76"/>
      <c r="N76"/>
    </row>
    <row r="77" spans="2:15" ht="28.5">
      <c r="C77" s="238" t="s">
        <v>398</v>
      </c>
      <c r="D77" s="11" t="s">
        <v>408</v>
      </c>
      <c r="E77" s="11"/>
      <c r="F77" s="418">
        <f xml:space="preserve"> _xlfn.UNICODE(D77)</f>
        <v>63713</v>
      </c>
      <c r="G77" s="419" t="str">
        <f t="shared" si="5"/>
        <v>F8E1</v>
      </c>
      <c r="H77" s="420" t="str">
        <f t="shared" si="6"/>
        <v></v>
      </c>
      <c r="K77"/>
      <c r="L77"/>
      <c r="M77"/>
      <c r="N77"/>
    </row>
    <row r="78" spans="2:15" ht="28.5">
      <c r="D78" s="11"/>
      <c r="E78" s="11"/>
      <c r="F78" s="418"/>
      <c r="G78" s="419"/>
      <c r="H78" s="420"/>
      <c r="K78"/>
      <c r="L78"/>
      <c r="M78"/>
      <c r="N78"/>
    </row>
    <row r="79" spans="2:15" ht="28.5">
      <c r="C79" s="238" t="s">
        <v>399</v>
      </c>
      <c r="D79" s="11" t="s">
        <v>409</v>
      </c>
      <c r="E79" s="11"/>
      <c r="F79" s="418">
        <f xml:space="preserve"> _xlfn.UNICODE(D79)</f>
        <v>63728</v>
      </c>
      <c r="G79" s="419" t="str">
        <f t="shared" si="5"/>
        <v>F8F0</v>
      </c>
      <c r="H79" s="420" t="str">
        <f t="shared" si="6"/>
        <v></v>
      </c>
      <c r="K79"/>
      <c r="L79"/>
      <c r="M79"/>
      <c r="N79"/>
    </row>
    <row r="80" spans="2:15" ht="28.5">
      <c r="C80" s="238" t="s">
        <v>400</v>
      </c>
      <c r="D80" s="11" t="s">
        <v>410</v>
      </c>
      <c r="E80" s="11"/>
      <c r="F80" s="418">
        <f xml:space="preserve"> _xlfn.UNICODE(D80)</f>
        <v>63729</v>
      </c>
      <c r="G80" s="419" t="str">
        <f t="shared" si="5"/>
        <v>F8F1</v>
      </c>
      <c r="H80" s="420" t="str">
        <f t="shared" si="6"/>
        <v></v>
      </c>
      <c r="K80"/>
      <c r="L80"/>
      <c r="M80"/>
      <c r="N80"/>
    </row>
    <row r="81" spans="3:14" ht="28.5">
      <c r="C81" s="238" t="s">
        <v>401</v>
      </c>
      <c r="D81" s="11" t="s">
        <v>411</v>
      </c>
      <c r="E81" s="11"/>
      <c r="F81" s="418">
        <f xml:space="preserve"> _xlfn.UNICODE(D81)</f>
        <v>63730</v>
      </c>
      <c r="G81" s="419" t="str">
        <f t="shared" si="5"/>
        <v>F8F2</v>
      </c>
      <c r="H81" s="420" t="str">
        <f t="shared" si="6"/>
        <v></v>
      </c>
      <c r="K81"/>
      <c r="L81"/>
      <c r="M81"/>
      <c r="N81"/>
    </row>
    <row r="82" spans="3:14" ht="28.5">
      <c r="C82" s="238" t="s">
        <v>402</v>
      </c>
      <c r="D82" s="11" t="s">
        <v>412</v>
      </c>
      <c r="E82" s="11"/>
      <c r="F82" s="418">
        <f xml:space="preserve"> _xlfn.UNICODE(D82)</f>
        <v>63731</v>
      </c>
      <c r="G82" s="419" t="str">
        <f t="shared" si="5"/>
        <v>F8F3</v>
      </c>
      <c r="H82" s="420" t="str">
        <f t="shared" si="6"/>
        <v></v>
      </c>
      <c r="K82"/>
      <c r="L82"/>
      <c r="M82"/>
      <c r="N82"/>
    </row>
    <row r="83" spans="3:14" ht="28.5">
      <c r="C83" s="238"/>
      <c r="D83" s="11"/>
      <c r="E83" s="11"/>
      <c r="F83" s="418"/>
      <c r="G83" s="419"/>
      <c r="H83" s="420"/>
      <c r="K83"/>
      <c r="L83"/>
      <c r="M83"/>
      <c r="N83"/>
    </row>
    <row r="84" spans="3:14" ht="28.5">
      <c r="D84" s="298" t="s">
        <v>538</v>
      </c>
      <c r="E84" s="298"/>
      <c r="F84" s="418">
        <f xml:space="preserve"> _xlfn.UNICODE(D84)</f>
        <v>12724</v>
      </c>
      <c r="G84" s="419" t="str">
        <f t="shared" si="5"/>
        <v>31B4</v>
      </c>
      <c r="H84" s="420" t="str">
        <f t="shared" si="6"/>
        <v>ㆴ</v>
      </c>
      <c r="K84"/>
      <c r="L84"/>
      <c r="M84"/>
      <c r="N84"/>
    </row>
    <row r="85" spans="3:14" ht="28.5">
      <c r="D85" s="298" t="s">
        <v>539</v>
      </c>
      <c r="E85" s="298"/>
      <c r="F85" s="418">
        <f xml:space="preserve"> _xlfn.UNICODE(D85)</f>
        <v>12725</v>
      </c>
      <c r="G85" s="419" t="str">
        <f t="shared" si="5"/>
        <v>31B5</v>
      </c>
      <c r="H85" s="420" t="str">
        <f t="shared" si="6"/>
        <v>ㆵ</v>
      </c>
      <c r="K85"/>
      <c r="L85"/>
      <c r="M85"/>
      <c r="N85"/>
    </row>
    <row r="86" spans="3:14" ht="28.5">
      <c r="D86" s="298" t="s">
        <v>540</v>
      </c>
      <c r="E86" s="298"/>
      <c r="F86" s="418">
        <f xml:space="preserve"> _xlfn.UNICODE(D86)</f>
        <v>12731</v>
      </c>
      <c r="G86" s="419" t="str">
        <f t="shared" si="5"/>
        <v>31BB</v>
      </c>
      <c r="H86" s="420" t="str">
        <f t="shared" si="6"/>
        <v>ㆻ</v>
      </c>
      <c r="K86"/>
      <c r="L86"/>
      <c r="M86"/>
      <c r="N86"/>
    </row>
    <row r="87" spans="3:14" ht="28.5">
      <c r="D87" s="298" t="s">
        <v>541</v>
      </c>
      <c r="E87" s="298"/>
      <c r="F87" s="418">
        <f xml:space="preserve"> _xlfn.UNICODE(D87)</f>
        <v>12727</v>
      </c>
      <c r="G87" s="419" t="str">
        <f t="shared" si="5"/>
        <v>31B7</v>
      </c>
      <c r="H87" s="420" t="str">
        <f t="shared" si="6"/>
        <v>ㆷ</v>
      </c>
      <c r="K87"/>
      <c r="L87"/>
      <c r="M87"/>
      <c r="N87"/>
    </row>
  </sheetData>
  <phoneticPr fontId="9" type="noConversion"/>
  <conditionalFormatting sqref="C57:H60 C62:H67 C3:I54">
    <cfRule type="cellIs" dxfId="3" priority="2" operator="equal">
      <formula>CHAR(32)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6A5C-558F-454E-B716-9DFE8C108629}">
  <sheetPr>
    <tabColor theme="9"/>
  </sheetPr>
  <dimension ref="B2:M63"/>
  <sheetViews>
    <sheetView workbookViewId="0">
      <selection activeCell="G57" sqref="G57"/>
    </sheetView>
  </sheetViews>
  <sheetFormatPr defaultRowHeight="21"/>
  <cols>
    <col min="2" max="2" width="14.3984375" bestFit="1" customWidth="1"/>
    <col min="3" max="3" width="9.796875" bestFit="1" customWidth="1"/>
    <col min="7" max="7" width="9.69921875" bestFit="1" customWidth="1"/>
  </cols>
  <sheetData>
    <row r="2" spans="2:13">
      <c r="B2" t="s">
        <v>359</v>
      </c>
      <c r="C2" s="196" t="s">
        <v>1480</v>
      </c>
      <c r="D2" s="196"/>
      <c r="E2" s="196"/>
      <c r="F2" s="196"/>
      <c r="G2" s="196"/>
      <c r="H2" s="196"/>
      <c r="I2" s="196"/>
      <c r="J2" s="196"/>
    </row>
    <row r="4" spans="2:13">
      <c r="B4" t="s">
        <v>360</v>
      </c>
      <c r="C4" s="197" t="s">
        <v>299</v>
      </c>
    </row>
    <row r="5" spans="2:13" ht="23.25">
      <c r="B5" t="s">
        <v>361</v>
      </c>
      <c r="C5" s="11">
        <f xml:space="preserve"> SEARCH($C$4,$C$2,1) + 1</f>
        <v>12</v>
      </c>
      <c r="D5" s="2"/>
    </row>
    <row r="6" spans="2:13" ht="23.25">
      <c r="B6" t="s">
        <v>362</v>
      </c>
      <c r="C6" s="11">
        <f xml:space="preserve"> SEARCH($C$4,$C$2,C5+1) - 1</f>
        <v>63</v>
      </c>
      <c r="D6" s="2"/>
    </row>
    <row r="7" spans="2:13">
      <c r="B7" t="s">
        <v>363</v>
      </c>
      <c r="C7" s="196" t="str">
        <f xml:space="preserve"> MID(C2, C5, C6-C5+1)</f>
        <v>1q!a2wsxyhnbYHNBedEgcuj8ik,9lUJ*I&lt;(L-M0;Oomp/. 43657</v>
      </c>
      <c r="D7" s="196"/>
      <c r="E7" s="196"/>
      <c r="F7" s="196"/>
      <c r="G7" s="196"/>
      <c r="H7" s="196"/>
      <c r="I7" s="196"/>
      <c r="J7" s="196"/>
    </row>
    <row r="8" spans="2:13" ht="25.5">
      <c r="B8" t="s">
        <v>364</v>
      </c>
      <c r="C8" s="198">
        <f xml:space="preserve"> LEN(C7)</f>
        <v>52</v>
      </c>
    </row>
    <row r="10" spans="2:13">
      <c r="B10" s="371" t="s">
        <v>1468</v>
      </c>
      <c r="C10" s="372" t="s">
        <v>1469</v>
      </c>
      <c r="D10" s="372" t="s">
        <v>261</v>
      </c>
      <c r="E10" s="259" t="s">
        <v>342</v>
      </c>
      <c r="F10" s="373" t="s">
        <v>250</v>
      </c>
      <c r="I10" s="371" t="s">
        <v>1468</v>
      </c>
      <c r="J10" s="372" t="s">
        <v>1469</v>
      </c>
      <c r="K10" s="372" t="s">
        <v>261</v>
      </c>
      <c r="L10" s="259" t="s">
        <v>342</v>
      </c>
      <c r="M10" s="373" t="s">
        <v>250</v>
      </c>
    </row>
    <row r="11" spans="2:13" ht="23.25">
      <c r="B11" s="113">
        <f xml:space="preserve"> ROW() - 10</f>
        <v>1</v>
      </c>
      <c r="C11" s="191" t="str">
        <f xml:space="preserve"> MID($C$7, B11,1)</f>
        <v>1</v>
      </c>
      <c r="D11" s="370" t="str" cm="1">
        <f t="array" ref="D11" xml:space="preserve"> INDEX(注音編碼對照表[方音符號], MATCH(TRUE, EXACT($C11, 注音編碼對照表[鍵盤按鍵] ),0))</f>
        <v>ㄅ</v>
      </c>
      <c r="E11" s="192" t="str" cm="1">
        <f t="array" ref="E11" xml:space="preserve"> INDEX(注音編碼對照表[注音編碼], MATCH(TRUE, EXACT($C11, 注音編碼對照表[鍵盤按鍵] ),0))</f>
        <v>p</v>
      </c>
      <c r="F11" s="374" t="str" cm="1">
        <f t="array" ref="F11" xml:space="preserve"> INDEX(注音編碼對照表[國際音標], MATCH(TRUE, EXACT($C11, 注音編碼對照表[鍵盤按鍵] ),0))</f>
        <v>p</v>
      </c>
      <c r="I11" s="375">
        <f xml:space="preserve"> ROW() - 10</f>
        <v>1</v>
      </c>
      <c r="J11" s="376" t="s">
        <v>249</v>
      </c>
      <c r="K11" s="377" t="str" cm="1">
        <f t="array" ref="K11" xml:space="preserve"> INDEX(注音編碼對照表[方音符號], MATCH(TRUE, EXACT($J11, 注音編碼對照表[鍵盤按鍵] ),0))</f>
        <v>ㄅ</v>
      </c>
      <c r="L11" s="261" t="str" cm="1">
        <f t="array" ref="L11" xml:space="preserve"> INDEX(注音編碼對照表[注音編碼], MATCH(TRUE, EXACT($J11, 注音編碼對照表[鍵盤按鍵] ),0))</f>
        <v>p</v>
      </c>
      <c r="M11" s="378" t="str" cm="1">
        <f t="array" ref="M11" xml:space="preserve"> INDEX(注音編碼對照表[國際音標], MATCH(TRUE, EXACT($J11, 注音編碼對照表[鍵盤按鍵] ),0))</f>
        <v>p</v>
      </c>
    </row>
    <row r="12" spans="2:13" ht="23.25">
      <c r="B12" s="113">
        <f t="shared" ref="B12:B62" si="0" xml:space="preserve"> ROW() - 10</f>
        <v>2</v>
      </c>
      <c r="C12" s="191" t="str">
        <f t="shared" ref="C12:C55" si="1" xml:space="preserve"> MID($C$7, B12,1)</f>
        <v>q</v>
      </c>
      <c r="D12" s="370" t="str" cm="1">
        <f t="array" ref="D12" xml:space="preserve"> INDEX(注音編碼對照表[方音符號], MATCH(TRUE, EXACT($C12, 注音編碼對照表[鍵盤按鍵] ),0))</f>
        <v>ㄆ</v>
      </c>
      <c r="E12" s="192" t="str" cm="1">
        <f t="array" ref="E12" xml:space="preserve"> INDEX(注音編碼對照表[注音編碼], MATCH(TRUE, EXACT($C12, 注音編碼對照表[鍵盤按鍵] ),0))</f>
        <v>P</v>
      </c>
      <c r="F12" s="374" t="str" cm="1">
        <f t="array" ref="F12" xml:space="preserve"> INDEX(注音編碼對照表[國際音標], MATCH(TRUE, EXACT($C12, 注音編碼對照表[鍵盤按鍵] ),0))</f>
        <v>pʰ</v>
      </c>
      <c r="I12" s="379">
        <f t="shared" ref="I12:I62" si="2" xml:space="preserve"> ROW() - 10</f>
        <v>2</v>
      </c>
      <c r="J12" s="191" t="s">
        <v>248</v>
      </c>
      <c r="K12" s="370" t="str" cm="1">
        <f t="array" ref="K12" xml:space="preserve"> INDEX(注音編碼對照表[方音符號], MATCH(TRUE, EXACT($J12, 注音編碼對照表[鍵盤按鍵] ),0))</f>
        <v>ㄆ</v>
      </c>
      <c r="L12" s="192" t="str" cm="1">
        <f t="array" ref="L12" xml:space="preserve"> INDEX(注音編碼對照表[注音編碼], MATCH(TRUE, EXACT($J12, 注音編碼對照表[鍵盤按鍵] ),0))</f>
        <v>P</v>
      </c>
      <c r="M12" s="380" t="str" cm="1">
        <f t="array" ref="M12" xml:space="preserve"> INDEX(注音編碼對照表[國際音標], MATCH(TRUE, EXACT($J12, 注音編碼對照表[鍵盤按鍵] ),0))</f>
        <v>pʰ</v>
      </c>
    </row>
    <row r="13" spans="2:13" ht="23.25">
      <c r="B13" s="113">
        <f t="shared" si="0"/>
        <v>3</v>
      </c>
      <c r="C13" s="191" t="str">
        <f t="shared" si="1"/>
        <v>!</v>
      </c>
      <c r="D13" s="370" t="str" cm="1">
        <f t="array" ref="D13" xml:space="preserve"> INDEX(注音編碼對照表[方音符號], MATCH(TRUE, EXACT($C13, 注音編碼對照表[鍵盤按鍵] ),0))</f>
        <v>ㆠ</v>
      </c>
      <c r="E13" s="192" t="str" cm="1">
        <f t="array" ref="E13" xml:space="preserve"> INDEX(注音編碼對照表[注音編碼], MATCH(TRUE, EXACT($C13, 注音編碼對照表[鍵盤按鍵] ),0))</f>
        <v>b</v>
      </c>
      <c r="F13" s="374" t="str" cm="1">
        <f t="array" ref="F13" xml:space="preserve"> INDEX(注音編碼對照表[國際音標], MATCH(TRUE, EXACT($C13, 注音編碼對照表[鍵盤按鍵] ),0))</f>
        <v>b</v>
      </c>
      <c r="I13" s="379">
        <f t="shared" si="2"/>
        <v>3</v>
      </c>
      <c r="J13" s="191" t="s">
        <v>266</v>
      </c>
      <c r="K13" s="370" t="str" cm="1">
        <f t="array" ref="K13" xml:space="preserve"> INDEX(注音編碼對照表[方音符號], MATCH(TRUE, EXACT($J13, 注音編碼對照表[鍵盤按鍵] ),0))</f>
        <v>ㆠ</v>
      </c>
      <c r="L13" s="192" t="str" cm="1">
        <f t="array" ref="L13" xml:space="preserve"> INDEX(注音編碼對照表[注音編碼], MATCH(TRUE, EXACT($J13, 注音編碼對照表[鍵盤按鍵] ),0))</f>
        <v>b</v>
      </c>
      <c r="M13" s="380" t="str" cm="1">
        <f t="array" ref="M13" xml:space="preserve"> INDEX(注音編碼對照表[國際音標], MATCH(TRUE, EXACT($J13, 注音編碼對照表[鍵盤按鍵] ),0))</f>
        <v>b</v>
      </c>
    </row>
    <row r="14" spans="2:13" ht="23.25">
      <c r="B14" s="113">
        <f t="shared" si="0"/>
        <v>4</v>
      </c>
      <c r="C14" s="191" t="str">
        <f t="shared" si="1"/>
        <v>a</v>
      </c>
      <c r="D14" s="370" t="str" cm="1">
        <f t="array" ref="D14" xml:space="preserve"> INDEX(注音編碼對照表[方音符號], MATCH(TRUE, EXACT($C14, 注音編碼對照表[鍵盤按鍵] ),0))</f>
        <v>ㄇ</v>
      </c>
      <c r="E14" s="192" t="str" cm="1">
        <f t="array" ref="E14" xml:space="preserve"> INDEX(注音編碼對照表[注音編碼], MATCH(TRUE, EXACT($C14, 注音編碼對照表[鍵盤按鍵] ),0))</f>
        <v>m</v>
      </c>
      <c r="F14" s="374" t="str" cm="1">
        <f t="array" ref="F14" xml:space="preserve"> INDEX(注音編碼對照表[國際音標], MATCH(TRUE, EXACT($C14, 注音編碼對照表[鍵盤按鍵] ),0))</f>
        <v>m</v>
      </c>
      <c r="I14" s="381">
        <f t="shared" si="2"/>
        <v>4</v>
      </c>
      <c r="J14" s="382" t="s">
        <v>247</v>
      </c>
      <c r="K14" s="383" t="str" cm="1">
        <f t="array" ref="K14" xml:space="preserve"> INDEX(注音編碼對照表[方音符號], MATCH(TRUE, EXACT($J14, 注音編碼對照表[鍵盤按鍵] ),0))</f>
        <v>ㄇ</v>
      </c>
      <c r="L14" s="265" t="str" cm="1">
        <f t="array" ref="L14" xml:space="preserve"> INDEX(注音編碼對照表[注音編碼], MATCH(TRUE, EXACT($J14, 注音編碼對照表[鍵盤按鍵] ),0))</f>
        <v>m</v>
      </c>
      <c r="M14" s="384" t="str" cm="1">
        <f t="array" ref="M14" xml:space="preserve"> INDEX(注音編碼對照表[國際音標], MATCH(TRUE, EXACT($J14, 注音編碼對照表[鍵盤按鍵] ),0))</f>
        <v>m</v>
      </c>
    </row>
    <row r="15" spans="2:13" ht="23.25">
      <c r="B15" s="113">
        <f t="shared" si="0"/>
        <v>5</v>
      </c>
      <c r="C15" s="191" t="str">
        <f t="shared" si="1"/>
        <v>2</v>
      </c>
      <c r="D15" s="370" t="str" cm="1">
        <f t="array" ref="D15" xml:space="preserve"> INDEX(注音編碼對照表[方音符號], MATCH(TRUE, EXACT($C15, 注音編碼對照表[鍵盤按鍵] ),0))</f>
        <v>ㄉ</v>
      </c>
      <c r="E15" s="192" t="str" cm="1">
        <f t="array" ref="E15" xml:space="preserve"> INDEX(注音編碼對照表[注音編碼], MATCH(TRUE, EXACT($C15, 注音編碼對照表[鍵盤按鍵] ),0))</f>
        <v>t</v>
      </c>
      <c r="F15" s="374" t="str" cm="1">
        <f t="array" ref="F15" xml:space="preserve"> INDEX(注音編碼對照表[國際音標], MATCH(TRUE, EXACT($C15, 注音編碼對照表[鍵盤按鍵] ),0))</f>
        <v>t</v>
      </c>
      <c r="I15" s="375">
        <f t="shared" si="2"/>
        <v>5</v>
      </c>
      <c r="J15" s="376" t="s">
        <v>245</v>
      </c>
      <c r="K15" s="377" t="str" cm="1">
        <f t="array" ref="K15" xml:space="preserve"> INDEX(注音編碼對照表[方音符號], MATCH(TRUE, EXACT($J15, 注音編碼對照表[鍵盤按鍵] ),0))</f>
        <v>ㄉ</v>
      </c>
      <c r="L15" s="261" t="str" cm="1">
        <f t="array" ref="L15" xml:space="preserve"> INDEX(注音編碼對照表[注音編碼], MATCH(TRUE, EXACT($J15, 注音編碼對照表[鍵盤按鍵] ),0))</f>
        <v>t</v>
      </c>
      <c r="M15" s="378" t="str" cm="1">
        <f t="array" ref="M15" xml:space="preserve"> INDEX(注音編碼對照表[國際音標], MATCH(TRUE, EXACT($J15, 注音編碼對照表[鍵盤按鍵] ),0))</f>
        <v>t</v>
      </c>
    </row>
    <row r="16" spans="2:13" ht="23.25">
      <c r="B16" s="113">
        <f t="shared" si="0"/>
        <v>6</v>
      </c>
      <c r="C16" s="191" t="str">
        <f t="shared" si="1"/>
        <v>w</v>
      </c>
      <c r="D16" s="370" t="str" cm="1">
        <f t="array" ref="D16" xml:space="preserve"> INDEX(注音編碼對照表[方音符號], MATCH(TRUE, EXACT($C16, 注音編碼對照表[鍵盤按鍵] ),0))</f>
        <v>ㄊ</v>
      </c>
      <c r="E16" s="192" t="str" cm="1">
        <f t="array" ref="E16" xml:space="preserve"> INDEX(注音編碼對照表[注音編碼], MATCH(TRUE, EXACT($C16, 注音編碼對照表[鍵盤按鍵] ),0))</f>
        <v>T</v>
      </c>
      <c r="F16" s="374" t="str" cm="1">
        <f t="array" ref="F16" xml:space="preserve"> INDEX(注音編碼對照表[國際音標], MATCH(TRUE, EXACT($C16, 注音編碼對照表[鍵盤按鍵] ),0))</f>
        <v>tʰ</v>
      </c>
      <c r="I16" s="379">
        <f t="shared" si="2"/>
        <v>6</v>
      </c>
      <c r="J16" s="191" t="s">
        <v>242</v>
      </c>
      <c r="K16" s="370" t="str" cm="1">
        <f t="array" ref="K16" xml:space="preserve"> INDEX(注音編碼對照表[方音符號], MATCH(TRUE, EXACT($J16, 注音編碼對照表[鍵盤按鍵] ),0))</f>
        <v>ㄊ</v>
      </c>
      <c r="L16" s="192" t="str" cm="1">
        <f t="array" ref="L16" xml:space="preserve"> INDEX(注音編碼對照表[注音編碼], MATCH(TRUE, EXACT($J16, 注音編碼對照表[鍵盤按鍵] ),0))</f>
        <v>T</v>
      </c>
      <c r="M16" s="380" t="str" cm="1">
        <f t="array" ref="M16" xml:space="preserve"> INDEX(注音編碼對照表[國際音標], MATCH(TRUE, EXACT($J16, 注音編碼對照表[鍵盤按鍵] ),0))</f>
        <v>tʰ</v>
      </c>
    </row>
    <row r="17" spans="2:13" ht="23.25">
      <c r="B17" s="113">
        <f t="shared" si="0"/>
        <v>7</v>
      </c>
      <c r="C17" s="191" t="str">
        <f t="shared" si="1"/>
        <v>s</v>
      </c>
      <c r="D17" s="370" t="str" cm="1">
        <f t="array" ref="D17" xml:space="preserve"> INDEX(注音編碼對照表[方音符號], MATCH(TRUE, EXACT($C17, 注音編碼對照表[鍵盤按鍵] ),0))</f>
        <v>ㄋ</v>
      </c>
      <c r="E17" s="192" t="str" cm="1">
        <f t="array" ref="E17" xml:space="preserve"> INDEX(注音編碼對照表[注音編碼], MATCH(TRUE, EXACT($C17, 注音編碼對照表[鍵盤按鍵] ),0))</f>
        <v>n</v>
      </c>
      <c r="F17" s="374" t="str" cm="1">
        <f t="array" ref="F17" xml:space="preserve"> INDEX(注音編碼對照表[國際音標], MATCH(TRUE, EXACT($C17, 注音編碼對照表[鍵盤按鍵] ),0))</f>
        <v>n</v>
      </c>
      <c r="I17" s="379">
        <f t="shared" si="2"/>
        <v>7</v>
      </c>
      <c r="J17" s="191" t="s">
        <v>239</v>
      </c>
      <c r="K17" s="370" t="str" cm="1">
        <f t="array" ref="K17" xml:space="preserve"> INDEX(注音編碼對照表[方音符號], MATCH(TRUE, EXACT($J17, 注音編碼對照表[鍵盤按鍵] ),0))</f>
        <v>ㄋ</v>
      </c>
      <c r="L17" s="192" t="str" cm="1">
        <f t="array" ref="L17" xml:space="preserve"> INDEX(注音編碼對照表[注音編碼], MATCH(TRUE, EXACT($J17, 注音編碼對照表[鍵盤按鍵] ),0))</f>
        <v>n</v>
      </c>
      <c r="M17" s="380" t="str" cm="1">
        <f t="array" ref="M17" xml:space="preserve"> INDEX(注音編碼對照表[國際音標], MATCH(TRUE, EXACT($J17, 注音編碼對照表[鍵盤按鍵] ),0))</f>
        <v>n</v>
      </c>
    </row>
    <row r="18" spans="2:13" ht="23.25">
      <c r="B18" s="113">
        <f t="shared" si="0"/>
        <v>8</v>
      </c>
      <c r="C18" s="191" t="str">
        <f t="shared" si="1"/>
        <v>x</v>
      </c>
      <c r="D18" s="370" t="str" cm="1">
        <f t="array" ref="D18" xml:space="preserve"> INDEX(注音編碼對照表[方音符號], MATCH(TRUE, EXACT($C18, 注音編碼對照表[鍵盤按鍵] ),0))</f>
        <v>ㄌ</v>
      </c>
      <c r="E18" s="192" t="str" cm="1">
        <f t="array" ref="E18" xml:space="preserve"> INDEX(注音編碼對照表[注音編碼], MATCH(TRUE, EXACT($C18, 注音編碼對照表[鍵盤按鍵] ),0))</f>
        <v>l</v>
      </c>
      <c r="F18" s="374" t="str" cm="1">
        <f t="array" ref="F18" xml:space="preserve"> INDEX(注音編碼對照表[國際音標], MATCH(TRUE, EXACT($C18, 注音編碼對照表[鍵盤按鍵] ),0))</f>
        <v>l</v>
      </c>
      <c r="I18" s="381">
        <f t="shared" si="2"/>
        <v>8</v>
      </c>
      <c r="J18" s="382" t="s">
        <v>237</v>
      </c>
      <c r="K18" s="383" t="str" cm="1">
        <f t="array" ref="K18" xml:space="preserve"> INDEX(注音編碼對照表[方音符號], MATCH(TRUE, EXACT($J18, 注音編碼對照表[鍵盤按鍵] ),0))</f>
        <v>ㄌ</v>
      </c>
      <c r="L18" s="265" t="str" cm="1">
        <f t="array" ref="L18" xml:space="preserve"> INDEX(注音編碼對照表[注音編碼], MATCH(TRUE, EXACT($J18, 注音編碼對照表[鍵盤按鍵] ),0))</f>
        <v>l</v>
      </c>
      <c r="M18" s="384" t="str" cm="1">
        <f t="array" ref="M18" xml:space="preserve"> INDEX(注音編碼對照表[國際音標], MATCH(TRUE, EXACT($J18, 注音編碼對照表[鍵盤按鍵] ),0))</f>
        <v>l</v>
      </c>
    </row>
    <row r="19" spans="2:13" ht="23.25">
      <c r="B19" s="113">
        <f t="shared" si="0"/>
        <v>9</v>
      </c>
      <c r="C19" s="191" t="str">
        <f t="shared" si="1"/>
        <v>y</v>
      </c>
      <c r="D19" s="370" t="str" cm="1">
        <f t="array" ref="D19" xml:space="preserve"> INDEX(注音編碼對照表[方音符號], MATCH(TRUE, EXACT($C19, 注音編碼對照表[鍵盤按鍵] ),0))</f>
        <v>ㄗ</v>
      </c>
      <c r="E19" s="192" t="str" cm="1">
        <f t="array" ref="E19" xml:space="preserve"> INDEX(注音編碼對照表[注音編碼], MATCH(TRUE, EXACT($C19, 注音編碼對照表[鍵盤按鍵] ),0))</f>
        <v>z</v>
      </c>
      <c r="F19" s="374" t="str" cm="1">
        <f t="array" ref="F19" xml:space="preserve"> INDEX(注音編碼對照表[國際音標], MATCH(TRUE, EXACT($C19, 注音編碼對照表[鍵盤按鍵] ),0))</f>
        <v>ts</v>
      </c>
      <c r="I19" s="375">
        <f t="shared" si="2"/>
        <v>9</v>
      </c>
      <c r="J19" s="376" t="s">
        <v>343</v>
      </c>
      <c r="K19" s="377" t="str" cm="1">
        <f t="array" ref="K19" xml:space="preserve"> INDEX(注音編碼對照表[方音符號], MATCH(TRUE, EXACT($J19, 注音編碼對照表[鍵盤按鍵] ),0))</f>
        <v>ㄗ</v>
      </c>
      <c r="L19" s="261" t="str" cm="1">
        <f t="array" ref="L19" xml:space="preserve"> INDEX(注音編碼對照表[注音編碼], MATCH(TRUE, EXACT($J19, 注音編碼對照表[鍵盤按鍵] ),0))</f>
        <v>z</v>
      </c>
      <c r="M19" s="378" t="str" cm="1">
        <f t="array" ref="M19" xml:space="preserve"> INDEX(注音編碼對照表[國際音標], MATCH(TRUE, EXACT($J19, 注音編碼對照表[鍵盤按鍵] ),0))</f>
        <v>ts</v>
      </c>
    </row>
    <row r="20" spans="2:13" ht="23.25">
      <c r="B20" s="113">
        <f t="shared" si="0"/>
        <v>10</v>
      </c>
      <c r="C20" s="191" t="str">
        <f t="shared" si="1"/>
        <v>h</v>
      </c>
      <c r="D20" s="370" t="str" cm="1">
        <f t="array" ref="D20" xml:space="preserve"> INDEX(注音編碼對照表[方音符號], MATCH(TRUE, EXACT($C20, 注音編碼對照表[鍵盤按鍵] ),0))</f>
        <v>ㄘ</v>
      </c>
      <c r="E20" s="192" t="str" cm="1">
        <f t="array" ref="E20" xml:space="preserve"> INDEX(注音編碼對照表[注音編碼], MATCH(TRUE, EXACT($C20, 注音編碼對照表[鍵盤按鍵] ),0))</f>
        <v>c</v>
      </c>
      <c r="F20" s="374" t="str" cm="1">
        <f t="array" ref="F20" xml:space="preserve"> INDEX(注音編碼對照表[國際音標], MATCH(TRUE, EXACT($C20, 注音編碼對照表[鍵盤按鍵] ),0))</f>
        <v>ʦʰ</v>
      </c>
      <c r="I20" s="379">
        <f t="shared" si="2"/>
        <v>10</v>
      </c>
      <c r="J20" s="191" t="s">
        <v>272</v>
      </c>
      <c r="K20" s="370" t="str" cm="1">
        <f t="array" ref="K20" xml:space="preserve"> INDEX(注音編碼對照表[方音符號], MATCH(TRUE, EXACT($J20, 注音編碼對照表[鍵盤按鍵] ),0))</f>
        <v>ㄘ</v>
      </c>
      <c r="L20" s="192" t="str" cm="1">
        <f t="array" ref="L20" xml:space="preserve"> INDEX(注音編碼對照表[注音編碼], MATCH(TRUE, EXACT($J20, 注音編碼對照表[鍵盤按鍵] ),0))</f>
        <v>c</v>
      </c>
      <c r="M20" s="380" t="str" cm="1">
        <f t="array" ref="M20" xml:space="preserve"> INDEX(注音編碼對照表[國際音標], MATCH(TRUE, EXACT($J20, 注音編碼對照表[鍵盤按鍵] ),0))</f>
        <v>ʦʰ</v>
      </c>
    </row>
    <row r="21" spans="2:13" ht="23.25">
      <c r="B21" s="113">
        <f t="shared" si="0"/>
        <v>11</v>
      </c>
      <c r="C21" s="191" t="str">
        <f t="shared" si="1"/>
        <v>n</v>
      </c>
      <c r="D21" s="370" t="str" cm="1">
        <f t="array" ref="D21" xml:space="preserve"> INDEX(注音編碼對照表[方音符號], MATCH(TRUE, EXACT($C21, 注音編碼對照表[鍵盤按鍵] ),0))</f>
        <v>ㄙ</v>
      </c>
      <c r="E21" s="192" t="str" cm="1">
        <f t="array" ref="E21" xml:space="preserve"> INDEX(注音編碼對照表[注音編碼], MATCH(TRUE, EXACT($C21, 注音編碼對照表[鍵盤按鍵] ),0))</f>
        <v>s</v>
      </c>
      <c r="F21" s="374" t="str" cm="1">
        <f t="array" ref="F21" xml:space="preserve"> INDEX(注音編碼對照表[國際音標], MATCH(TRUE, EXACT($C21, 注音編碼對照表[鍵盤按鍵] ),0))</f>
        <v>s</v>
      </c>
      <c r="I21" s="379">
        <f t="shared" si="2"/>
        <v>11</v>
      </c>
      <c r="J21" s="191" t="s">
        <v>34</v>
      </c>
      <c r="K21" s="370" t="str" cm="1">
        <f t="array" ref="K21" xml:space="preserve"> INDEX(注音編碼對照表[方音符號], MATCH(TRUE, EXACT($J21, 注音編碼對照表[鍵盤按鍵] ),0))</f>
        <v>ㄙ</v>
      </c>
      <c r="L21" s="192" t="str" cm="1">
        <f t="array" ref="L21" xml:space="preserve"> INDEX(注音編碼對照表[注音編碼], MATCH(TRUE, EXACT($J21, 注音編碼對照表[鍵盤按鍵] ),0))</f>
        <v>s</v>
      </c>
      <c r="M21" s="380" t="str" cm="1">
        <f t="array" ref="M21" xml:space="preserve"> INDEX(注音編碼對照表[國際音標], MATCH(TRUE, EXACT($J21, 注音編碼對照表[鍵盤按鍵] ),0))</f>
        <v>s</v>
      </c>
    </row>
    <row r="22" spans="2:13" ht="23.25">
      <c r="B22" s="113">
        <f t="shared" si="0"/>
        <v>12</v>
      </c>
      <c r="C22" s="191" t="str">
        <f t="shared" si="1"/>
        <v>b</v>
      </c>
      <c r="D22" s="370" t="str" cm="1">
        <f t="array" ref="D22" xml:space="preserve"> INDEX(注音編碼對照表[方音符號], MATCH(TRUE, EXACT($C22, 注音編碼對照表[鍵盤按鍵] ),0))</f>
        <v>ㆡ</v>
      </c>
      <c r="E22" s="192" t="str" cm="1">
        <f t="array" ref="E22" xml:space="preserve"> INDEX(注音編碼對照表[注音編碼], MATCH(TRUE, EXACT($C22, 注音編碼對照表[鍵盤按鍵] ),0))</f>
        <v>j</v>
      </c>
      <c r="F22" s="374" t="str" cm="1">
        <f t="array" ref="F22" xml:space="preserve"> INDEX(注音編碼對照表[國際音標], MATCH(TRUE, EXACT($C22, 注音編碼對照表[鍵盤按鍵] ),0))</f>
        <v>ʣ</v>
      </c>
      <c r="I22" s="381">
        <f t="shared" si="2"/>
        <v>12</v>
      </c>
      <c r="J22" s="382" t="s">
        <v>165</v>
      </c>
      <c r="K22" s="383" t="str" cm="1">
        <f t="array" ref="K22" xml:space="preserve"> INDEX(注音編碼對照表[方音符號], MATCH(TRUE, EXACT($J22, 注音編碼對照表[鍵盤按鍵] ),0))</f>
        <v>ㆡ</v>
      </c>
      <c r="L22" s="265" t="str" cm="1">
        <f t="array" ref="L22" xml:space="preserve"> INDEX(注音編碼對照表[注音編碼], MATCH(TRUE, EXACT($J22, 注音編碼對照表[鍵盤按鍵] ),0))</f>
        <v>j</v>
      </c>
      <c r="M22" s="384" t="str" cm="1">
        <f t="array" ref="M22" xml:space="preserve"> INDEX(注音編碼對照表[國際音標], MATCH(TRUE, EXACT($J22, 注音編碼對照表[鍵盤按鍵] ),0))</f>
        <v>ʣ</v>
      </c>
    </row>
    <row r="23" spans="2:13" ht="23.25">
      <c r="B23" s="113">
        <f t="shared" si="0"/>
        <v>13</v>
      </c>
      <c r="C23" s="191" t="str">
        <f t="shared" si="1"/>
        <v>Y</v>
      </c>
      <c r="D23" s="370" t="str" cm="1">
        <f t="array" ref="D23" xml:space="preserve"> INDEX(注音編碼對照表[方音符號], MATCH(TRUE, EXACT($C23, 注音編碼對照表[鍵盤按鍵] ),0))</f>
        <v>ㄐ</v>
      </c>
      <c r="E23" s="192" t="str" cm="1">
        <f t="array" ref="E23" xml:space="preserve"> INDEX(注音編碼對照表[注音編碼], MATCH(TRUE, EXACT($C23, 注音編碼對照表[鍵盤按鍵] ),0))</f>
        <v>Z</v>
      </c>
      <c r="F23" s="374" t="str" cm="1">
        <f t="array" ref="F23" xml:space="preserve"> INDEX(注音編碼對照表[國際音標], MATCH(TRUE, EXACT($C23, 注音編碼對照表[鍵盤按鍵] ),0))</f>
        <v>ʨ</v>
      </c>
      <c r="I23" s="375">
        <f t="shared" si="2"/>
        <v>13</v>
      </c>
      <c r="J23" s="376" t="s">
        <v>278</v>
      </c>
      <c r="K23" s="377" t="str" cm="1">
        <f t="array" ref="K23" xml:space="preserve"> INDEX(注音編碼對照表[方音符號], MATCH(TRUE, EXACT($J23, 注音編碼對照表[鍵盤按鍵] ),0))</f>
        <v>ㄐ</v>
      </c>
      <c r="L23" s="261" t="str" cm="1">
        <f t="array" ref="L23" xml:space="preserve"> INDEX(注音編碼對照表[注音編碼], MATCH(TRUE, EXACT($J23, 注音編碼對照表[鍵盤按鍵] ),0))</f>
        <v>Z</v>
      </c>
      <c r="M23" s="378" t="str" cm="1">
        <f t="array" ref="M23" xml:space="preserve"> INDEX(注音編碼對照表[國際音標], MATCH(TRUE, EXACT($J23, 注音編碼對照表[鍵盤按鍵] ),0))</f>
        <v>ʨ</v>
      </c>
    </row>
    <row r="24" spans="2:13" ht="23.25">
      <c r="B24" s="113">
        <f t="shared" si="0"/>
        <v>14</v>
      </c>
      <c r="C24" s="191" t="str">
        <f t="shared" si="1"/>
        <v>H</v>
      </c>
      <c r="D24" s="370" t="str" cm="1">
        <f t="array" ref="D24" xml:space="preserve"> INDEX(注音編碼對照表[方音符號], MATCH(TRUE, EXACT($C24, 注音編碼對照表[鍵盤按鍵] ),0))</f>
        <v>ㄑ</v>
      </c>
      <c r="E24" s="192" t="str" cm="1">
        <f t="array" ref="E24" xml:space="preserve"> INDEX(注音編碼對照表[注音編碼], MATCH(TRUE, EXACT($C24, 注音編碼對照表[鍵盤按鍵] ),0))</f>
        <v>C</v>
      </c>
      <c r="F24" s="374" t="str" cm="1">
        <f t="array" ref="F24" xml:space="preserve"> INDEX(注音編碼對照表[國際音標], MATCH(TRUE, EXACT($C24, 注音編碼對照表[鍵盤按鍵] ),0))</f>
        <v>ʨʰ</v>
      </c>
      <c r="I24" s="379">
        <f t="shared" si="2"/>
        <v>14</v>
      </c>
      <c r="J24" s="191" t="s">
        <v>280</v>
      </c>
      <c r="K24" s="370" t="str" cm="1">
        <f t="array" ref="K24" xml:space="preserve"> INDEX(注音編碼對照表[方音符號], MATCH(TRUE, EXACT($J24, 注音編碼對照表[鍵盤按鍵] ),0))</f>
        <v>ㄑ</v>
      </c>
      <c r="L24" s="192" t="str" cm="1">
        <f t="array" ref="L24" xml:space="preserve"> INDEX(注音編碼對照表[注音編碼], MATCH(TRUE, EXACT($J24, 注音編碼對照表[鍵盤按鍵] ),0))</f>
        <v>C</v>
      </c>
      <c r="M24" s="380" t="str" cm="1">
        <f t="array" ref="M24" xml:space="preserve"> INDEX(注音編碼對照表[國際音標], MATCH(TRUE, EXACT($J24, 注音編碼對照表[鍵盤按鍵] ),0))</f>
        <v>ʨʰ</v>
      </c>
    </row>
    <row r="25" spans="2:13" ht="23.25">
      <c r="B25" s="113">
        <f t="shared" si="0"/>
        <v>15</v>
      </c>
      <c r="C25" s="191" t="str">
        <f t="shared" si="1"/>
        <v>N</v>
      </c>
      <c r="D25" s="370" t="str" cm="1">
        <f t="array" ref="D25" xml:space="preserve"> INDEX(注音編碼對照表[方音符號], MATCH(TRUE, EXACT($C25, 注音編碼對照表[鍵盤按鍵] ),0))</f>
        <v>ㄒ</v>
      </c>
      <c r="E25" s="192" t="str" cm="1">
        <f t="array" ref="E25" xml:space="preserve"> INDEX(注音編碼對照表[注音編碼], MATCH(TRUE, EXACT($C25, 注音編碼對照表[鍵盤按鍵] ),0))</f>
        <v>S</v>
      </c>
      <c r="F25" s="374" t="str" cm="1">
        <f t="array" ref="F25" xml:space="preserve"> INDEX(注音編碼對照表[國際音標], MATCH(TRUE, EXACT($C25, 注音編碼對照表[鍵盤按鍵] ),0))</f>
        <v>ɕ</v>
      </c>
      <c r="I25" s="379">
        <f t="shared" si="2"/>
        <v>15</v>
      </c>
      <c r="J25" s="191" t="s">
        <v>330</v>
      </c>
      <c r="K25" s="370" t="str" cm="1">
        <f t="array" ref="K25" xml:space="preserve"> INDEX(注音編碼對照表[方音符號], MATCH(TRUE, EXACT($J25, 注音編碼對照表[鍵盤按鍵] ),0))</f>
        <v>ㄒ</v>
      </c>
      <c r="L25" s="192" t="str" cm="1">
        <f t="array" ref="L25" xml:space="preserve"> INDEX(注音編碼對照表[注音編碼], MATCH(TRUE, EXACT($J25, 注音編碼對照表[鍵盤按鍵] ),0))</f>
        <v>S</v>
      </c>
      <c r="M25" s="380" t="str" cm="1">
        <f t="array" ref="M25" xml:space="preserve"> INDEX(注音編碼對照表[國際音標], MATCH(TRUE, EXACT($J25, 注音編碼對照表[鍵盤按鍵] ),0))</f>
        <v>ɕ</v>
      </c>
    </row>
    <row r="26" spans="2:13" ht="23.25">
      <c r="B26" s="113">
        <f t="shared" si="0"/>
        <v>16</v>
      </c>
      <c r="C26" s="191" t="str">
        <f t="shared" si="1"/>
        <v>B</v>
      </c>
      <c r="D26" s="370" t="str" cm="1">
        <f t="array" ref="D26" xml:space="preserve"> INDEX(注音編碼對照表[方音符號], MATCH(TRUE, EXACT($C26, 注音編碼對照表[鍵盤按鍵] ),0))</f>
        <v>ㆢ</v>
      </c>
      <c r="E26" s="192" t="str" cm="1">
        <f t="array" ref="E26" xml:space="preserve"> INDEX(注音編碼對照表[注音編碼], MATCH(TRUE, EXACT($C26, 注音編碼對照表[鍵盤按鍵] ),0))</f>
        <v>J</v>
      </c>
      <c r="F26" s="374" t="str" cm="1">
        <f t="array" ref="F26" xml:space="preserve"> INDEX(注音編碼對照表[國際音標], MATCH(TRUE, EXACT($C26, 注音編碼對照表[鍵盤按鍵] ),0))</f>
        <v>ʥ</v>
      </c>
      <c r="I26" s="381">
        <f t="shared" si="2"/>
        <v>16</v>
      </c>
      <c r="J26" s="382" t="s">
        <v>143</v>
      </c>
      <c r="K26" s="383" t="str" cm="1">
        <f t="array" ref="K26" xml:space="preserve"> INDEX(注音編碼對照表[方音符號], MATCH(TRUE, EXACT($J26, 注音編碼對照表[鍵盤按鍵] ),0))</f>
        <v>ㆢ</v>
      </c>
      <c r="L26" s="265" t="str" cm="1">
        <f t="array" ref="L26" xml:space="preserve"> INDEX(注音編碼對照表[注音編碼], MATCH(TRUE, EXACT($J26, 注音編碼對照表[鍵盤按鍵] ),0))</f>
        <v>J</v>
      </c>
      <c r="M26" s="384" t="str" cm="1">
        <f t="array" ref="M26" xml:space="preserve"> INDEX(注音編碼對照表[國際音標], MATCH(TRUE, EXACT($J26, 注音編碼對照表[鍵盤按鍵] ),0))</f>
        <v>ʥ</v>
      </c>
    </row>
    <row r="27" spans="2:13" ht="23.25">
      <c r="B27" s="113">
        <f t="shared" si="0"/>
        <v>17</v>
      </c>
      <c r="C27" s="191" t="str">
        <f t="shared" si="1"/>
        <v>e</v>
      </c>
      <c r="D27" s="370" t="str" cm="1">
        <f t="array" ref="D27" xml:space="preserve"> INDEX(注音編碼對照表[方音符號], MATCH(TRUE, EXACT($C27, 注音編碼對照表[鍵盤按鍵] ),0))</f>
        <v>ㄍ</v>
      </c>
      <c r="E27" s="192" t="str" cm="1">
        <f t="array" ref="E27" xml:space="preserve"> INDEX(注音編碼對照表[注音編碼], MATCH(TRUE, EXACT($C27, 注音編碼對照表[鍵盤按鍵] ),0))</f>
        <v>k</v>
      </c>
      <c r="F27" s="374" t="str" cm="1">
        <f t="array" ref="F27" xml:space="preserve"> INDEX(注音編碼對照表[國際音標], MATCH(TRUE, EXACT($C27, 注音編碼對照表[鍵盤按鍵] ),0))</f>
        <v>k</v>
      </c>
      <c r="I27" s="375">
        <f t="shared" si="2"/>
        <v>17</v>
      </c>
      <c r="J27" s="376" t="s">
        <v>234</v>
      </c>
      <c r="K27" s="377" t="str" cm="1">
        <f t="array" ref="K27" xml:space="preserve"> INDEX(注音編碼對照表[方音符號], MATCH(TRUE, EXACT($J27, 注音編碼對照表[鍵盤按鍵] ),0))</f>
        <v>ㄍ</v>
      </c>
      <c r="L27" s="261" t="str" cm="1">
        <f t="array" ref="L27" xml:space="preserve"> INDEX(注音編碼對照表[注音編碼], MATCH(TRUE, EXACT($J27, 注音編碼對照表[鍵盤按鍵] ),0))</f>
        <v>k</v>
      </c>
      <c r="M27" s="378" t="str" cm="1">
        <f t="array" ref="M27" xml:space="preserve"> INDEX(注音編碼對照表[國際音標], MATCH(TRUE, EXACT($J27, 注音編碼對照表[鍵盤按鍵] ),0))</f>
        <v>k</v>
      </c>
    </row>
    <row r="28" spans="2:13" ht="23.25">
      <c r="B28" s="113">
        <f t="shared" si="0"/>
        <v>18</v>
      </c>
      <c r="C28" s="191" t="str">
        <f t="shared" si="1"/>
        <v>d</v>
      </c>
      <c r="D28" s="370" t="str" cm="1">
        <f t="array" ref="D28" xml:space="preserve"> INDEX(注音編碼對照表[方音符號], MATCH(TRUE, EXACT($C28, 注音編碼對照表[鍵盤按鍵] ),0))</f>
        <v>ㄎ</v>
      </c>
      <c r="E28" s="192" t="str" cm="1">
        <f t="array" ref="E28" xml:space="preserve"> INDEX(注音編碼對照表[注音編碼], MATCH(TRUE, EXACT($C28, 注音編碼對照表[鍵盤按鍵] ),0))</f>
        <v>K</v>
      </c>
      <c r="F28" s="374" t="str" cm="1">
        <f t="array" ref="F28" xml:space="preserve"> INDEX(注音編碼對照表[國際音標], MATCH(TRUE, EXACT($C28, 注音編碼對照表[鍵盤按鍵] ),0))</f>
        <v>kʰ</v>
      </c>
      <c r="I28" s="379">
        <f t="shared" si="2"/>
        <v>18</v>
      </c>
      <c r="J28" s="191" t="s">
        <v>226</v>
      </c>
      <c r="K28" s="370" t="str" cm="1">
        <f t="array" ref="K28" xml:space="preserve"> INDEX(注音編碼對照表[方音符號], MATCH(TRUE, EXACT($J28, 注音編碼對照表[鍵盤按鍵] ),0))</f>
        <v>ㄎ</v>
      </c>
      <c r="L28" s="192" t="str" cm="1">
        <f t="array" ref="L28" xml:space="preserve"> INDEX(注音編碼對照表[注音編碼], MATCH(TRUE, EXACT($J28, 注音編碼對照表[鍵盤按鍵] ),0))</f>
        <v>K</v>
      </c>
      <c r="M28" s="380" t="str" cm="1">
        <f t="array" ref="M28" xml:space="preserve"> INDEX(注音編碼對照表[國際音標], MATCH(TRUE, EXACT($J28, 注音編碼對照表[鍵盤按鍵] ),0))</f>
        <v>kʰ</v>
      </c>
    </row>
    <row r="29" spans="2:13" ht="23.25">
      <c r="B29" s="113">
        <f t="shared" si="0"/>
        <v>19</v>
      </c>
      <c r="C29" s="191" t="str">
        <f t="shared" si="1"/>
        <v>E</v>
      </c>
      <c r="D29" s="370" t="str" cm="1">
        <f t="array" ref="D29" xml:space="preserve"> INDEX(注音編碼對照表[方音符號], MATCH(TRUE, EXACT($C29, 注音編碼對照表[鍵盤按鍵] ),0))</f>
        <v>ㆣ</v>
      </c>
      <c r="E29" s="192" t="str" cm="1">
        <f t="array" ref="E29" xml:space="preserve"> INDEX(注音編碼對照表[注音編碼], MATCH(TRUE, EXACT($C29, 注音編碼對照表[鍵盤按鍵] ),0))</f>
        <v>g</v>
      </c>
      <c r="F29" s="374" t="str" cm="1">
        <f t="array" ref="F29" xml:space="preserve"> INDEX(注音編碼對照表[國際音標], MATCH(TRUE, EXACT($C29, 注音編碼對照表[鍵盤按鍵] ),0))</f>
        <v>g</v>
      </c>
      <c r="I29" s="379">
        <f t="shared" si="2"/>
        <v>19</v>
      </c>
      <c r="J29" s="191" t="s">
        <v>231</v>
      </c>
      <c r="K29" s="370" t="str" cm="1">
        <f t="array" ref="K29" xml:space="preserve"> INDEX(注音編碼對照表[方音符號], MATCH(TRUE, EXACT($J29, 注音編碼對照表[鍵盤按鍵] ),0))</f>
        <v>ㆣ</v>
      </c>
      <c r="L29" s="192" t="str" cm="1">
        <f t="array" ref="L29" xml:space="preserve"> INDEX(注音編碼對照表[注音編碼], MATCH(TRUE, EXACT($J29, 注音編碼對照表[鍵盤按鍵] ),0))</f>
        <v>g</v>
      </c>
      <c r="M29" s="380" t="str" cm="1">
        <f t="array" ref="M29" xml:space="preserve"> INDEX(注音編碼對照表[國際音標], MATCH(TRUE, EXACT($J29, 注音編碼對照表[鍵盤按鍵] ),0))</f>
        <v>g</v>
      </c>
    </row>
    <row r="30" spans="2:13" ht="23.25">
      <c r="B30" s="113">
        <f t="shared" si="0"/>
        <v>20</v>
      </c>
      <c r="C30" s="191" t="str">
        <f t="shared" si="1"/>
        <v>g</v>
      </c>
      <c r="D30" s="370" t="str" cm="1">
        <f t="array" ref="D30" xml:space="preserve"> INDEX(注音編碼對照表[方音符號], MATCH(TRUE, EXACT($C30, 注音編碼對照表[鍵盤按鍵] ),0))</f>
        <v>ㄫ</v>
      </c>
      <c r="E30" s="192" t="str" cm="1">
        <f t="array" ref="E30" xml:space="preserve"> INDEX(注音編碼對照表[注音編碼], MATCH(TRUE, EXACT($C30, 注音編碼對照表[鍵盤按鍵] ),0))</f>
        <v>w</v>
      </c>
      <c r="F30" s="374" t="str" cm="1">
        <f t="array" ref="F30" xml:space="preserve"> INDEX(注音編碼對照表[國際音標], MATCH(TRUE, EXACT($C30, 注音編碼對照表[鍵盤按鍵] ),0))</f>
        <v>ŋ</v>
      </c>
      <c r="I30" s="379">
        <f t="shared" si="2"/>
        <v>20</v>
      </c>
      <c r="J30" s="385" t="s">
        <v>42</v>
      </c>
      <c r="K30" s="386" t="str" cm="1">
        <f t="array" ref="K30" xml:space="preserve"> INDEX(注音編碼對照表[方音符號], MATCH(TRUE, EXACT($J30, 注音編碼對照表[鍵盤按鍵] ),0))</f>
        <v>ㄫ</v>
      </c>
      <c r="L30" s="387" t="str" cm="1">
        <f t="array" ref="L30" xml:space="preserve"> INDEX(注音編碼對照表[注音編碼], MATCH(TRUE, EXACT($J30, 注音編碼對照表[鍵盤按鍵] ),0))</f>
        <v>w</v>
      </c>
      <c r="M30" s="388" t="str" cm="1">
        <f t="array" ref="M30" xml:space="preserve"> INDEX(注音編碼對照表[國際音標], MATCH(TRUE, EXACT($J30, 注音編碼對照表[鍵盤按鍵] ),0))</f>
        <v>ŋ</v>
      </c>
    </row>
    <row r="31" spans="2:13" ht="23.25">
      <c r="B31" s="113">
        <f t="shared" si="0"/>
        <v>21</v>
      </c>
      <c r="C31" s="191" t="str">
        <f t="shared" si="1"/>
        <v>c</v>
      </c>
      <c r="D31" s="370" t="str" cm="1">
        <f t="array" ref="D31" xml:space="preserve"> INDEX(注音編碼對照表[方音符號], MATCH(TRUE, EXACT($C31, 注音編碼對照表[鍵盤按鍵] ),0))</f>
        <v>ㄏ</v>
      </c>
      <c r="E31" s="192" t="str" cm="1">
        <f t="array" ref="E31" xml:space="preserve"> INDEX(注音編碼對照表[注音編碼], MATCH(TRUE, EXACT($C31, 注音編碼對照表[鍵盤按鍵] ),0))</f>
        <v>h</v>
      </c>
      <c r="F31" s="374" t="str" cm="1">
        <f t="array" ref="F31" xml:space="preserve"> INDEX(注音編碼對照表[國際音標], MATCH(TRUE, EXACT($C31, 注音編碼對照表[鍵盤按鍵] ),0))</f>
        <v>h</v>
      </c>
      <c r="I31" s="381">
        <f t="shared" si="2"/>
        <v>21</v>
      </c>
      <c r="J31" s="382" t="s">
        <v>223</v>
      </c>
      <c r="K31" s="383" t="str" cm="1">
        <f t="array" ref="K31" xml:space="preserve"> INDEX(注音編碼對照表[方音符號], MATCH(TRUE, EXACT($J31, 注音編碼對照表[鍵盤按鍵] ),0))</f>
        <v>ㄏ</v>
      </c>
      <c r="L31" s="265" t="str" cm="1">
        <f t="array" ref="L31" xml:space="preserve"> INDEX(注音編碼對照表[注音編碼], MATCH(TRUE, EXACT($J31, 注音編碼對照表[鍵盤按鍵] ),0))</f>
        <v>h</v>
      </c>
      <c r="M31" s="384" t="str" cm="1">
        <f t="array" ref="M31" xml:space="preserve"> INDEX(注音編碼對照表[國際音標], MATCH(TRUE, EXACT($J31, 注音編碼對照表[鍵盤按鍵] ),0))</f>
        <v>h</v>
      </c>
    </row>
    <row r="32" spans="2:13" ht="23.25">
      <c r="B32" s="113">
        <f t="shared" si="0"/>
        <v>22</v>
      </c>
      <c r="C32" s="191" t="str">
        <f t="shared" si="1"/>
        <v>u</v>
      </c>
      <c r="D32" s="370" t="str" cm="1">
        <f t="array" ref="D32" xml:space="preserve"> INDEX(注音編碼對照表[方音符號], MATCH(TRUE, EXACT($C32, 注音編碼對照表[鍵盤按鍵] ),0))</f>
        <v>ㄧ</v>
      </c>
      <c r="E32" s="192" t="str" cm="1">
        <f t="array" ref="E32" xml:space="preserve"> INDEX(注音編碼對照表[注音編碼], MATCH(TRUE, EXACT($C32, 注音編碼對照表[鍵盤按鍵] ),0))</f>
        <v>i</v>
      </c>
      <c r="F32" s="374" t="str" cm="1">
        <f t="array" ref="F32" xml:space="preserve"> INDEX(注音編碼對照表[國際音標], MATCH(TRUE, EXACT($C32, 注音編碼對照表[鍵盤按鍵] ),0))</f>
        <v>i</v>
      </c>
      <c r="I32" s="375">
        <f t="shared" si="2"/>
        <v>22</v>
      </c>
      <c r="J32" s="376" t="s">
        <v>170</v>
      </c>
      <c r="K32" s="377" t="str" cm="1">
        <f t="array" ref="K32" xml:space="preserve"> INDEX(注音編碼對照表[方音符號], MATCH(TRUE, EXACT($J32, 注音編碼對照表[鍵盤按鍵] ),0))</f>
        <v>ㄧ</v>
      </c>
      <c r="L32" s="261" t="str" cm="1">
        <f t="array" ref="L32" xml:space="preserve"> INDEX(注音編碼對照表[注音編碼], MATCH(TRUE, EXACT($J32, 注音編碼對照表[鍵盤按鍵] ),0))</f>
        <v>i</v>
      </c>
      <c r="M32" s="378" t="str" cm="1">
        <f t="array" ref="M32" xml:space="preserve"> INDEX(注音編碼對照表[國際音標], MATCH(TRUE, EXACT($J32, 注音編碼對照表[鍵盤按鍵] ),0))</f>
        <v>i</v>
      </c>
    </row>
    <row r="33" spans="2:13" ht="23.25">
      <c r="B33" s="113">
        <f t="shared" si="0"/>
        <v>23</v>
      </c>
      <c r="C33" s="191" t="str">
        <f t="shared" si="1"/>
        <v>j</v>
      </c>
      <c r="D33" s="370" t="str" cm="1">
        <f t="array" ref="D33" xml:space="preserve"> INDEX(注音編碼對照表[方音符號], MATCH(TRUE, EXACT($C33, 注音編碼對照表[鍵盤按鍵] ),0))</f>
        <v>ㄨ</v>
      </c>
      <c r="E33" s="192" t="str" cm="1">
        <f t="array" ref="E33" xml:space="preserve"> INDEX(注音編碼對照表[注音編碼], MATCH(TRUE, EXACT($C33, 注音編碼對照表[鍵盤按鍵] ),0))</f>
        <v>u</v>
      </c>
      <c r="F33" s="374" t="str" cm="1">
        <f t="array" ref="F33" xml:space="preserve"> INDEX(注音編碼對照表[國際音標], MATCH(TRUE, EXACT($C33, 注音編碼對照表[鍵盤按鍵] ),0))</f>
        <v>u</v>
      </c>
      <c r="I33" s="379">
        <f t="shared" si="2"/>
        <v>23</v>
      </c>
      <c r="J33" s="191" t="s">
        <v>194</v>
      </c>
      <c r="K33" s="370" t="str" cm="1">
        <f t="array" ref="K33" xml:space="preserve"> INDEX(注音編碼對照表[方音符號], MATCH(TRUE, EXACT($J33, 注音編碼對照表[鍵盤按鍵] ),0))</f>
        <v>ㄨ</v>
      </c>
      <c r="L33" s="192" t="str" cm="1">
        <f t="array" ref="L33" xml:space="preserve"> INDEX(注音編碼對照表[注音編碼], MATCH(TRUE, EXACT($J33, 注音編碼對照表[鍵盤按鍵] ),0))</f>
        <v>u</v>
      </c>
      <c r="M33" s="380" t="str" cm="1">
        <f t="array" ref="M33" xml:space="preserve"> INDEX(注音編碼對照表[國際音標], MATCH(TRUE, EXACT($J33, 注音編碼對照表[鍵盤按鍵] ),0))</f>
        <v>u</v>
      </c>
    </row>
    <row r="34" spans="2:13" ht="23.25">
      <c r="B34" s="113">
        <f t="shared" si="0"/>
        <v>24</v>
      </c>
      <c r="C34" s="191" t="str">
        <f t="shared" si="1"/>
        <v>8</v>
      </c>
      <c r="D34" s="370" t="str" cm="1">
        <f t="array" ref="D34" xml:space="preserve"> INDEX(注音編碼對照表[方音符號], MATCH(TRUE, EXACT($C34, 注音編碼對照表[鍵盤按鍵] ),0))</f>
        <v>ㄚ</v>
      </c>
      <c r="E34" s="192" t="str" cm="1">
        <f t="array" ref="E34" xml:space="preserve"> INDEX(注音編碼對照表[注音編碼], MATCH(TRUE, EXACT($C34, 注音編碼對照表[鍵盤按鍵] ),0))</f>
        <v>a</v>
      </c>
      <c r="F34" s="374" t="str" cm="1">
        <f t="array" ref="F34" xml:space="preserve"> INDEX(注音編碼對照表[國際音標], MATCH(TRUE, EXACT($C34, 注音編碼對照表[鍵盤按鍵] ),0))</f>
        <v>a</v>
      </c>
      <c r="I34" s="379">
        <f t="shared" si="2"/>
        <v>24</v>
      </c>
      <c r="J34" s="191" t="s">
        <v>344</v>
      </c>
      <c r="K34" s="370" t="str" cm="1">
        <f t="array" ref="K34" xml:space="preserve"> INDEX(注音編碼對照表[方音符號], MATCH(TRUE, EXACT($J34, 注音編碼對照表[鍵盤按鍵] ),0))</f>
        <v>ㄚ</v>
      </c>
      <c r="L34" s="192" t="str" cm="1">
        <f t="array" ref="L34" xml:space="preserve"> INDEX(注音編碼對照表[注音編碼], MATCH(TRUE, EXACT($J34, 注音編碼對照表[鍵盤按鍵] ),0))</f>
        <v>a</v>
      </c>
      <c r="M34" s="380" t="str" cm="1">
        <f t="array" ref="M34" xml:space="preserve"> INDEX(注音編碼對照表[國際音標], MATCH(TRUE, EXACT($J34, 注音編碼對照表[鍵盤按鍵] ),0))</f>
        <v>a</v>
      </c>
    </row>
    <row r="35" spans="2:13" ht="23.25">
      <c r="B35" s="113">
        <f t="shared" si="0"/>
        <v>25</v>
      </c>
      <c r="C35" s="191" t="str">
        <f t="shared" si="1"/>
        <v>i</v>
      </c>
      <c r="D35" s="370" t="str" cm="1">
        <f t="array" ref="D35" xml:space="preserve"> INDEX(注音編碼對照表[方音符號], MATCH(TRUE, EXACT($C35, 注音編碼對照表[鍵盤按鍵] ),0))</f>
        <v>ㆦ</v>
      </c>
      <c r="E35" s="192" t="str" cm="1">
        <f t="array" ref="E35" xml:space="preserve"> INDEX(注音編碼對照表[注音編碼], MATCH(TRUE, EXACT($C35, 注音編碼對照表[鍵盤按鍵] ),0))</f>
        <v>O</v>
      </c>
      <c r="F35" s="374" t="str" cm="1">
        <f t="array" ref="F35" xml:space="preserve"> INDEX(注音編碼對照表[國際音標], MATCH(TRUE, EXACT($C35, 注音編碼對照表[鍵盤按鍵] ),0))</f>
        <v>ɔ</v>
      </c>
      <c r="I35" s="379">
        <f t="shared" si="2"/>
        <v>25</v>
      </c>
      <c r="J35" s="191" t="s">
        <v>207</v>
      </c>
      <c r="K35" s="370" t="str" cm="1">
        <f t="array" ref="K35" xml:space="preserve"> INDEX(注音編碼對照表[方音符號], MATCH(TRUE, EXACT($J35, 注音編碼對照表[鍵盤按鍵] ),0))</f>
        <v>ㆦ</v>
      </c>
      <c r="L35" s="192" t="str" cm="1">
        <f t="array" ref="L35" xml:space="preserve"> INDEX(注音編碼對照表[注音編碼], MATCH(TRUE, EXACT($J35, 注音編碼對照表[鍵盤按鍵] ),0))</f>
        <v>O</v>
      </c>
      <c r="M35" s="380" t="str" cm="1">
        <f t="array" ref="M35" xml:space="preserve"> INDEX(注音編碼對照表[國際音標], MATCH(TRUE, EXACT($J35, 注音編碼對照表[鍵盤按鍵] ),0))</f>
        <v>ɔ</v>
      </c>
    </row>
    <row r="36" spans="2:13" ht="23.25">
      <c r="B36" s="113">
        <f t="shared" si="0"/>
        <v>26</v>
      </c>
      <c r="C36" s="191" t="str">
        <f t="shared" si="1"/>
        <v>k</v>
      </c>
      <c r="D36" s="370" t="str" cm="1">
        <f t="array" ref="D36" xml:space="preserve"> INDEX(注音編碼對照表[方音符號], MATCH(TRUE, EXACT($C36, 注音編碼對照表[鍵盤按鍵] ),0))</f>
        <v>ㄜ</v>
      </c>
      <c r="E36" s="192" t="str" cm="1">
        <f t="array" ref="E36" xml:space="preserve"> INDEX(注音編碼對照表[注音編碼], MATCH(TRUE, EXACT($C36, 注音編碼對照表[鍵盤按鍵] ),0))</f>
        <v>o</v>
      </c>
      <c r="F36" s="374" t="str" cm="1">
        <f t="array" ref="F36" xml:space="preserve"> INDEX(注音編碼對照表[國際音標], MATCH(TRUE, EXACT($C36, 注音編碼對照表[鍵盤按鍵] ),0))</f>
        <v>ə</v>
      </c>
      <c r="I36" s="379">
        <f t="shared" si="2"/>
        <v>26</v>
      </c>
      <c r="J36" s="191" t="s">
        <v>37</v>
      </c>
      <c r="K36" s="370" t="str" cm="1">
        <f t="array" ref="K36" xml:space="preserve"> INDEX(注音編碼對照表[方音符號], MATCH(TRUE, EXACT($J36, 注音編碼對照表[鍵盤按鍵] ),0))</f>
        <v>ㄜ</v>
      </c>
      <c r="L36" s="192" t="str" cm="1">
        <f t="array" ref="L36" xml:space="preserve"> INDEX(注音編碼對照表[注音編碼], MATCH(TRUE, EXACT($J36, 注音編碼對照表[鍵盤按鍵] ),0))</f>
        <v>o</v>
      </c>
      <c r="M36" s="380" t="str" cm="1">
        <f t="array" ref="M36" xml:space="preserve"> INDEX(注音編碼對照表[國際音標], MATCH(TRUE, EXACT($J36, 注音編碼對照表[鍵盤按鍵] ),0))</f>
        <v>ə</v>
      </c>
    </row>
    <row r="37" spans="2:13" ht="23.25">
      <c r="B37" s="113">
        <f t="shared" si="0"/>
        <v>27</v>
      </c>
      <c r="C37" s="191" t="str">
        <f t="shared" si="1"/>
        <v>,</v>
      </c>
      <c r="D37" s="370" t="str" cm="1">
        <f t="array" ref="D37" xml:space="preserve"> INDEX(注音編碼對照表[方音符號], MATCH(TRUE, EXACT($C37, 注音編碼對照表[鍵盤按鍵] ),0))</f>
        <v>ㆤ</v>
      </c>
      <c r="E37" s="192" t="str" cm="1">
        <f t="array" ref="E37" xml:space="preserve"> INDEX(注音編碼對照表[注音編碼], MATCH(TRUE, EXACT($C37, 注音編碼對照表[鍵盤按鍵] ),0))</f>
        <v>e</v>
      </c>
      <c r="F37" s="374" t="str" cm="1">
        <f t="array" ref="F37" xml:space="preserve"> INDEX(注音編碼對照表[國際音標], MATCH(TRUE, EXACT($C37, 注音編碼對照表[鍵盤按鍵] ),0))</f>
        <v>e</v>
      </c>
      <c r="I37" s="379">
        <f t="shared" si="2"/>
        <v>27</v>
      </c>
      <c r="J37" s="191" t="s">
        <v>182</v>
      </c>
      <c r="K37" s="370" t="str" cm="1">
        <f t="array" ref="K37" xml:space="preserve"> INDEX(注音編碼對照表[方音符號], MATCH(TRUE, EXACT($J37, 注音編碼對照表[鍵盤按鍵] ),0))</f>
        <v>ㆤ</v>
      </c>
      <c r="L37" s="192" t="str" cm="1">
        <f t="array" ref="L37" xml:space="preserve"> INDEX(注音編碼對照表[注音編碼], MATCH(TRUE, EXACT($J37, 注音編碼對照表[鍵盤按鍵] ),0))</f>
        <v>e</v>
      </c>
      <c r="M37" s="380" t="str" cm="1">
        <f t="array" ref="M37" xml:space="preserve"> INDEX(注音編碼對照表[國際音標], MATCH(TRUE, EXACT($J37, 注音編碼對照表[鍵盤按鍵] ),0))</f>
        <v>e</v>
      </c>
    </row>
    <row r="38" spans="2:13" ht="23.25">
      <c r="B38" s="113">
        <f t="shared" si="0"/>
        <v>28</v>
      </c>
      <c r="C38" s="191" t="str">
        <f t="shared" si="1"/>
        <v>9</v>
      </c>
      <c r="D38" s="370" t="str" cm="1">
        <f t="array" ref="D38" xml:space="preserve"> INDEX(注音編碼對照表[方音符號], MATCH(TRUE, EXACT($C38, 注音編碼對照表[鍵盤按鍵] ),0))</f>
        <v>ㄞ</v>
      </c>
      <c r="E38" s="192" t="str" cm="1">
        <f t="array" ref="E38" xml:space="preserve"> INDEX(注音編碼對照表[注音編碼], MATCH(TRUE, EXACT($C38, 注音編碼對照表[鍵盤按鍵] ),0))</f>
        <v>y</v>
      </c>
      <c r="F38" s="374" t="str" cm="1">
        <f t="array" ref="F38" xml:space="preserve"> INDEX(注音編碼對照表[國際音標], MATCH(TRUE, EXACT($C38, 注音編碼對照表[鍵盤按鍵] ),0))</f>
        <v>ai</v>
      </c>
      <c r="I38" s="379">
        <f t="shared" si="2"/>
        <v>28</v>
      </c>
      <c r="J38" s="191" t="s">
        <v>199</v>
      </c>
      <c r="K38" s="370" t="str" cm="1">
        <f t="array" ref="K38" xml:space="preserve"> INDEX(注音編碼對照表[方音符號], MATCH(TRUE, EXACT($J38, 注音編碼對照表[鍵盤按鍵] ),0))</f>
        <v>ㄞ</v>
      </c>
      <c r="L38" s="192" t="str" cm="1">
        <f t="array" ref="L38" xml:space="preserve"> INDEX(注音編碼對照表[注音編碼], MATCH(TRUE, EXACT($J38, 注音編碼對照表[鍵盤按鍵] ),0))</f>
        <v>y</v>
      </c>
      <c r="M38" s="380" t="str" cm="1">
        <f t="array" ref="M38" xml:space="preserve"> INDEX(注音編碼對照表[國際音標], MATCH(TRUE, EXACT($J38, 注音編碼對照表[鍵盤按鍵] ),0))</f>
        <v>ai</v>
      </c>
    </row>
    <row r="39" spans="2:13" ht="23.25">
      <c r="B39" s="113">
        <f t="shared" si="0"/>
        <v>29</v>
      </c>
      <c r="C39" s="191" t="str">
        <f t="shared" si="1"/>
        <v>l</v>
      </c>
      <c r="D39" s="370" t="str" cm="1">
        <f t="array" ref="D39" xml:space="preserve"> INDEX(注音編碼對照表[方音符號], MATCH(TRUE, EXACT($C39, 注音編碼對照表[鍵盤按鍵] ),0))</f>
        <v>ㄠ</v>
      </c>
      <c r="E39" s="192" t="str" cm="1">
        <f t="array" ref="E39" xml:space="preserve"> INDEX(注音編碼對照表[注音編碼], MATCH(TRUE, EXACT($C39, 注音編碼對照表[鍵盤按鍵] ),0))</f>
        <v>x</v>
      </c>
      <c r="F39" s="374" t="str" cm="1">
        <f t="array" ref="F39" xml:space="preserve"> INDEX(注音編碼對照表[國際音標], MATCH(TRUE, EXACT($C39, 注音編碼對照表[鍵盤按鍵] ),0))</f>
        <v>ɑu</v>
      </c>
      <c r="I39" s="381">
        <f t="shared" si="2"/>
        <v>29</v>
      </c>
      <c r="J39" s="382" t="s">
        <v>86</v>
      </c>
      <c r="K39" s="383" t="str" cm="1">
        <f t="array" ref="K39" xml:space="preserve"> INDEX(注音編碼對照表[方音符號], MATCH(TRUE, EXACT($J39, 注音編碼對照表[鍵盤按鍵] ),0))</f>
        <v>ㄠ</v>
      </c>
      <c r="L39" s="265" t="str" cm="1">
        <f t="array" ref="L39" xml:space="preserve"> INDEX(注音編碼對照表[注音編碼], MATCH(TRUE, EXACT($J39, 注音編碼對照表[鍵盤按鍵] ),0))</f>
        <v>x</v>
      </c>
      <c r="M39" s="384" t="str" cm="1">
        <f t="array" ref="M39" xml:space="preserve"> INDEX(注音編碼對照表[國際音標], MATCH(TRUE, EXACT($J39, 注音編碼對照表[鍵盤按鍵] ),0))</f>
        <v>ɑu</v>
      </c>
    </row>
    <row r="40" spans="2:13" ht="23.25">
      <c r="B40" s="113">
        <f t="shared" si="0"/>
        <v>30</v>
      </c>
      <c r="C40" s="191" t="str">
        <f t="shared" si="1"/>
        <v>U</v>
      </c>
      <c r="D40" s="370" t="str" cm="1">
        <f t="array" ref="D40" xml:space="preserve"> INDEX(注音編碼對照表[方音符號], MATCH(TRUE, EXACT($C40, 注音編碼對照表[鍵盤按鍵] ),0))</f>
        <v>ㆪ</v>
      </c>
      <c r="E40" s="192" t="str" cm="1">
        <f t="array" ref="E40" xml:space="preserve"> INDEX(注音編碼對照表[注音編碼], MATCH(TRUE, EXACT($C40, 注音編碼對照表[鍵盤按鍵] ),0))</f>
        <v>I</v>
      </c>
      <c r="F40" s="374" t="str" cm="1">
        <f t="array" ref="F40" xml:space="preserve"> INDEX(注音編碼對照表[國際音標], MATCH(TRUE, EXACT($C40, 注音編碼對照表[鍵盤按鍵] ),0))</f>
        <v>ĩ</v>
      </c>
      <c r="I40" s="375">
        <f t="shared" si="2"/>
        <v>30</v>
      </c>
      <c r="J40" s="376" t="s">
        <v>197</v>
      </c>
      <c r="K40" s="377" t="str" cm="1">
        <f t="array" ref="K40" xml:space="preserve"> INDEX(注音編碼對照表[方音符號], MATCH(TRUE, EXACT($J40, 注音編碼對照表[鍵盤按鍵] ),0))</f>
        <v>ㆪ</v>
      </c>
      <c r="L40" s="261" t="str" cm="1">
        <f t="array" ref="L40" xml:space="preserve"> INDEX(注音編碼對照表[注音編碼], MATCH(TRUE, EXACT($J40, 注音編碼對照表[鍵盤按鍵] ),0))</f>
        <v>I</v>
      </c>
      <c r="M40" s="378" t="str" cm="1">
        <f t="array" ref="M40" xml:space="preserve"> INDEX(注音編碼對照表[國際音標], MATCH(TRUE, EXACT($J40, 注音編碼對照表[鍵盤按鍵] ),0))</f>
        <v>ĩ</v>
      </c>
    </row>
    <row r="41" spans="2:13" ht="23.25">
      <c r="B41" s="113">
        <f t="shared" si="0"/>
        <v>31</v>
      </c>
      <c r="C41" s="191" t="str">
        <f t="shared" si="1"/>
        <v>J</v>
      </c>
      <c r="D41" s="370" t="str" cm="1">
        <f t="array" ref="D41" xml:space="preserve"> INDEX(注音編碼對照表[方音符號], MATCH(TRUE, EXACT($C41, 注音編碼對照表[鍵盤按鍵] ),0))</f>
        <v>ㆫ</v>
      </c>
      <c r="E41" s="192" t="str" cm="1">
        <f t="array" ref="E41" xml:space="preserve"> INDEX(注音編碼對照表[注音編碼], MATCH(TRUE, EXACT($C41, 注音編碼對照表[鍵盤按鍵] ),0))</f>
        <v>U</v>
      </c>
      <c r="F41" s="374" t="str" cm="1">
        <f t="array" ref="F41" xml:space="preserve"> INDEX(注音編碼對照表[國際音標], MATCH(TRUE, EXACT($C41, 注音編碼對照表[鍵盤按鍵] ),0))</f>
        <v>ũ</v>
      </c>
      <c r="I41" s="379">
        <f t="shared" si="2"/>
        <v>31</v>
      </c>
      <c r="J41" s="191" t="s">
        <v>192</v>
      </c>
      <c r="K41" s="370" t="str" cm="1">
        <f t="array" ref="K41" xml:space="preserve"> INDEX(注音編碼對照表[方音符號], MATCH(TRUE, EXACT($J41, 注音編碼對照表[鍵盤按鍵] ),0))</f>
        <v>ㆫ</v>
      </c>
      <c r="L41" s="192" t="str" cm="1">
        <f t="array" ref="L41" xml:space="preserve"> INDEX(注音編碼對照表[注音編碼], MATCH(TRUE, EXACT($J41, 注音編碼對照表[鍵盤按鍵] ),0))</f>
        <v>U</v>
      </c>
      <c r="M41" s="380" t="str" cm="1">
        <f t="array" ref="M41" xml:space="preserve"> INDEX(注音編碼對照表[國際音標], MATCH(TRUE, EXACT($J41, 注音編碼對照表[鍵盤按鍵] ),0))</f>
        <v>ũ</v>
      </c>
    </row>
    <row r="42" spans="2:13" ht="23.25">
      <c r="B42" s="113">
        <f t="shared" si="0"/>
        <v>32</v>
      </c>
      <c r="C42" s="191" t="str">
        <f t="shared" si="1"/>
        <v>*</v>
      </c>
      <c r="D42" s="370" t="str" cm="1">
        <f t="array" ref="D42" xml:space="preserve"> INDEX(注音編碼對照表[方音符號], MATCH(TRUE, EXACT($C42, 注音編碼對照表[鍵盤按鍵] ),0))</f>
        <v>ㆩ</v>
      </c>
      <c r="E42" s="192" t="str" cm="1">
        <f t="array" ref="E42" xml:space="preserve"> INDEX(注音編碼對照表[注音編碼], MATCH(TRUE, EXACT($C42, 注音編碼對照表[鍵盤按鍵] ),0))</f>
        <v>A</v>
      </c>
      <c r="F42" s="374" t="str" cm="1">
        <f t="array" ref="F42" xml:space="preserve"> INDEX(注音編碼對照表[國際音標], MATCH(TRUE, EXACT($C42, 注音編碼對照表[鍵盤按鍵] ),0))</f>
        <v>ã</v>
      </c>
      <c r="I42" s="379">
        <f t="shared" si="2"/>
        <v>32</v>
      </c>
      <c r="J42" s="191" t="s">
        <v>208</v>
      </c>
      <c r="K42" s="370" t="str" cm="1">
        <f t="array" ref="K42" xml:space="preserve"> INDEX(注音編碼對照表[方音符號], MATCH(TRUE, EXACT($J42, 注音編碼對照表[鍵盤按鍵] ),0))</f>
        <v>ㆩ</v>
      </c>
      <c r="L42" s="192" t="str" cm="1">
        <f t="array" ref="L42" xml:space="preserve"> INDEX(注音編碼對照表[注音編碼], MATCH(TRUE, EXACT($J42, 注音編碼對照表[鍵盤按鍵] ),0))</f>
        <v>A</v>
      </c>
      <c r="M42" s="380" t="str" cm="1">
        <f t="array" ref="M42" xml:space="preserve"> INDEX(注音編碼對照表[國際音標], MATCH(TRUE, EXACT($J42, 注音編碼對照表[鍵盤按鍵] ),0))</f>
        <v>ã</v>
      </c>
    </row>
    <row r="43" spans="2:13" ht="23.25">
      <c r="B43" s="113">
        <f t="shared" si="0"/>
        <v>33</v>
      </c>
      <c r="C43" s="191" t="str">
        <f t="shared" si="1"/>
        <v>I</v>
      </c>
      <c r="D43" s="370" t="str" cm="1">
        <f t="array" ref="D43" xml:space="preserve"> INDEX(注音編碼對照表[方音符號], MATCH(TRUE, EXACT($C43, 注音編碼對照表[鍵盤按鍵] ),0))</f>
        <v>ㆧ</v>
      </c>
      <c r="E43" s="192" t="str" cm="1">
        <f t="array" ref="E43" xml:space="preserve"> INDEX(注音編碼對照表[注音編碼], MATCH(TRUE, EXACT($C43, 注音編碼對照表[鍵盤按鍵] ),0))</f>
        <v>Q</v>
      </c>
      <c r="F43" s="374" t="str" cm="1">
        <f t="array" ref="F43" xml:space="preserve"> INDEX(注音編碼對照表[國際音標], MATCH(TRUE, EXACT($C43, 注音編碼對照表[鍵盤按鍵] ),0))</f>
        <v>ɔ̃</v>
      </c>
      <c r="I43" s="379">
        <f t="shared" si="2"/>
        <v>33</v>
      </c>
      <c r="J43" s="191" t="s">
        <v>205</v>
      </c>
      <c r="K43" s="370" t="str" cm="1">
        <f t="array" ref="K43" xml:space="preserve"> INDEX(注音編碼對照表[方音符號], MATCH(TRUE, EXACT($J43, 注音編碼對照表[鍵盤按鍵] ),0))</f>
        <v>ㆧ</v>
      </c>
      <c r="L43" s="192" t="str" cm="1">
        <f t="array" ref="L43" xml:space="preserve"> INDEX(注音編碼對照表[注音編碼], MATCH(TRUE, EXACT($J43, 注音編碼對照表[鍵盤按鍵] ),0))</f>
        <v>Q</v>
      </c>
      <c r="M43" s="380" t="str" cm="1">
        <f t="array" ref="M43" xml:space="preserve"> INDEX(注音編碼對照表[國際音標], MATCH(TRUE, EXACT($J43, 注音編碼對照表[鍵盤按鍵] ),0))</f>
        <v>ɔ̃</v>
      </c>
    </row>
    <row r="44" spans="2:13" ht="23.25">
      <c r="B44" s="113">
        <f t="shared" si="0"/>
        <v>34</v>
      </c>
      <c r="C44" s="191" t="str">
        <f t="shared" si="1"/>
        <v>&lt;</v>
      </c>
      <c r="D44" s="370" t="str" cm="1">
        <f t="array" ref="D44" xml:space="preserve"> INDEX(注音編碼對照表[方音符號], MATCH(TRUE, EXACT($C44, 注音編碼對照表[鍵盤按鍵] ),0))</f>
        <v>ㆥ</v>
      </c>
      <c r="E44" s="192" t="str" cm="1">
        <f t="array" ref="E44" xml:space="preserve"> INDEX(注音編碼對照表[注音編碼], MATCH(TRUE, EXACT($C44, 注音編碼對照表[鍵盤按鍵] ),0))</f>
        <v>E</v>
      </c>
      <c r="F44" s="374" t="str" cm="1">
        <f t="array" ref="F44" xml:space="preserve"> INDEX(注音編碼對照表[國際音標], MATCH(TRUE, EXACT($C44, 注音編碼對照表[鍵盤按鍵] ),0))</f>
        <v>ẽ</v>
      </c>
      <c r="I44" s="379">
        <f t="shared" si="2"/>
        <v>34</v>
      </c>
      <c r="J44" s="191" t="s">
        <v>181</v>
      </c>
      <c r="K44" s="370" t="str" cm="1">
        <f t="array" ref="K44" xml:space="preserve"> INDEX(注音編碼對照表[方音符號], MATCH(TRUE, EXACT($J44, 注音編碼對照表[鍵盤按鍵] ),0))</f>
        <v>ㆥ</v>
      </c>
      <c r="L44" s="192" t="str" cm="1">
        <f t="array" ref="L44" xml:space="preserve"> INDEX(注音編碼對照表[注音編碼], MATCH(TRUE, EXACT($J44, 注音編碼對照表[鍵盤按鍵] ),0))</f>
        <v>E</v>
      </c>
      <c r="M44" s="380" t="str" cm="1">
        <f t="array" ref="M44" xml:space="preserve"> INDEX(注音編碼對照表[國際音標], MATCH(TRUE, EXACT($J44, 注音編碼對照表[鍵盤按鍵] ),0))</f>
        <v>ẽ</v>
      </c>
    </row>
    <row r="45" spans="2:13" ht="23.25">
      <c r="B45" s="113">
        <f t="shared" si="0"/>
        <v>35</v>
      </c>
      <c r="C45" s="191" t="str">
        <f t="shared" si="1"/>
        <v>(</v>
      </c>
      <c r="D45" s="370" t="str" cm="1">
        <f t="array" ref="D45" xml:space="preserve"> INDEX(注音編碼對照表[方音符號], MATCH(TRUE, EXACT($C45, 注音編碼對照表[鍵盤按鍵] ),0))</f>
        <v>ㆮ</v>
      </c>
      <c r="E45" s="192" t="str" cm="1">
        <f t="array" ref="E45" xml:space="preserve"> INDEX(注音編碼對照表[注音編碼], MATCH(TRUE, EXACT($C45, 注音編碼對照表[鍵盤按鍵] ),0))</f>
        <v>Y</v>
      </c>
      <c r="F45" s="374" t="str" cm="1">
        <f t="array" ref="F45" xml:space="preserve"> INDEX(注音編碼對照表[國際音標], MATCH(TRUE, EXACT($C45, 注音編碼對照表[鍵盤按鍵] ),0))</f>
        <v>ãĩ</v>
      </c>
      <c r="I45" s="379">
        <f t="shared" si="2"/>
        <v>35</v>
      </c>
      <c r="J45" s="191" t="s">
        <v>188</v>
      </c>
      <c r="K45" s="370" t="str" cm="1">
        <f t="array" ref="K45" xml:space="preserve"> INDEX(注音編碼對照表[方音符號], MATCH(TRUE, EXACT($J45, 注音編碼對照表[鍵盤按鍵] ),0))</f>
        <v>ㆮ</v>
      </c>
      <c r="L45" s="192" t="str" cm="1">
        <f t="array" ref="L45" xml:space="preserve"> INDEX(注音編碼對照表[注音編碼], MATCH(TRUE, EXACT($J45, 注音編碼對照表[鍵盤按鍵] ),0))</f>
        <v>Y</v>
      </c>
      <c r="M45" s="380" t="str" cm="1">
        <f t="array" ref="M45" xml:space="preserve"> INDEX(注音編碼對照表[國際音標], MATCH(TRUE, EXACT($J45, 注音編碼對照表[鍵盤按鍵] ),0))</f>
        <v>ãĩ</v>
      </c>
    </row>
    <row r="46" spans="2:13" ht="23.25">
      <c r="B46" s="113">
        <f t="shared" si="0"/>
        <v>36</v>
      </c>
      <c r="C46" s="191" t="str">
        <f t="shared" si="1"/>
        <v>L</v>
      </c>
      <c r="D46" s="370" t="str" cm="1">
        <f t="array" ref="D46" xml:space="preserve"> INDEX(注音編碼對照表[方音符號], MATCH(TRUE, EXACT($C46, 注音編碼對照表[鍵盤按鍵] ),0))</f>
        <v>ㆯ</v>
      </c>
      <c r="E46" s="192" t="str" cm="1">
        <f t="array" ref="E46" xml:space="preserve"> INDEX(注音編碼對照表[注音編碼], MATCH(TRUE, EXACT($C46, 注音編碼對照表[鍵盤按鍵] ),0))</f>
        <v>X</v>
      </c>
      <c r="F46" s="374" t="str" cm="1">
        <f t="array" ref="F46" xml:space="preserve"> INDEX(注音編碼對照表[國際音標], MATCH(TRUE, EXACT($C46, 注音編碼對照表[鍵盤按鍵] ),0))</f>
        <v>ãũ</v>
      </c>
      <c r="I46" s="381">
        <f t="shared" si="2"/>
        <v>36</v>
      </c>
      <c r="J46" s="382" t="s">
        <v>186</v>
      </c>
      <c r="K46" s="383" t="str" cm="1">
        <f t="array" ref="K46" xml:space="preserve"> INDEX(注音編碼對照表[方音符號], MATCH(TRUE, EXACT($J46, 注音編碼對照表[鍵盤按鍵] ),0))</f>
        <v>ㆯ</v>
      </c>
      <c r="L46" s="265" t="str" cm="1">
        <f t="array" ref="L46" xml:space="preserve"> INDEX(注音編碼對照表[注音編碼], MATCH(TRUE, EXACT($J46, 注音編碼對照表[鍵盤按鍵] ),0))</f>
        <v>X</v>
      </c>
      <c r="M46" s="384" t="str" cm="1">
        <f t="array" ref="M46" xml:space="preserve"> INDEX(注音編碼對照表[國際音標], MATCH(TRUE, EXACT($J46, 注音編碼對照表[鍵盤按鍵] ),0))</f>
        <v>ãũ</v>
      </c>
    </row>
    <row r="47" spans="2:13" ht="23.25">
      <c r="B47" s="113">
        <f t="shared" si="0"/>
        <v>37</v>
      </c>
      <c r="C47" s="191" t="str">
        <f t="shared" si="1"/>
        <v>-</v>
      </c>
      <c r="D47" s="370" t="str" cm="1">
        <f t="array" ref="D47" xml:space="preserve"> INDEX(注音編碼對照表[方音符號], MATCH(TRUE, EXACT($C47, 注音編碼對照表[鍵盤按鍵] ),0))</f>
        <v>ㆨ</v>
      </c>
      <c r="E47" s="192" t="str" cm="1">
        <f t="array" ref="E47" xml:space="preserve"> INDEX(注音編碼對照表[注音編碼], MATCH(TRUE, EXACT($C47, 注音編碼對照表[鍵盤按鍵] ),0))</f>
        <v>R</v>
      </c>
      <c r="F47" s="374" t="str" cm="1">
        <f t="array" ref="F47" xml:space="preserve"> INDEX(注音編碼對照表[國際音標], MATCH(TRUE, EXACT($C47, 注音編碼對照表[鍵盤按鍵] ),0))</f>
        <v>ɨ</v>
      </c>
      <c r="I47" s="389">
        <f t="shared" si="2"/>
        <v>37</v>
      </c>
      <c r="J47" s="390" t="s">
        <v>171</v>
      </c>
      <c r="K47" s="391" t="str" cm="1">
        <f t="array" ref="K47" xml:space="preserve"> INDEX(注音編碼對照表[方音符號], MATCH(TRUE, EXACT($J47, 注音編碼對照表[鍵盤按鍵] ),0))</f>
        <v>ㆨ</v>
      </c>
      <c r="L47" s="392" t="str" cm="1">
        <f t="array" ref="L47" xml:space="preserve"> INDEX(注音編碼對照表[注音編碼], MATCH(TRUE, EXACT($J47, 注音編碼對照表[鍵盤按鍵] ),0))</f>
        <v>R</v>
      </c>
      <c r="M47" s="393" t="str" cm="1">
        <f t="array" ref="M47" xml:space="preserve"> INDEX(注音編碼對照表[國際音標], MATCH(TRUE, EXACT($J47, 注音編碼對照表[鍵盤按鍵] ),0))</f>
        <v>ɨ</v>
      </c>
    </row>
    <row r="48" spans="2:13" ht="23.25">
      <c r="B48" s="113">
        <f t="shared" si="0"/>
        <v>38</v>
      </c>
      <c r="C48" s="191" t="str">
        <f t="shared" si="1"/>
        <v>M</v>
      </c>
      <c r="D48" s="370" t="str" cm="1">
        <f t="array" ref="D48" xml:space="preserve"> INDEX(注音編碼對照表[方音符號], MATCH(TRUE, EXACT($C48, 注音編碼對照表[鍵盤按鍵] ),0))</f>
        <v>ㆰ</v>
      </c>
      <c r="E48" s="192" t="str" cm="1">
        <f t="array" ref="E48" xml:space="preserve"> INDEX(注音編碼對照表[注音編碼], MATCH(TRUE, EXACT($C48, 注音編碼對照表[鍵盤按鍵] ),0))</f>
        <v>V</v>
      </c>
      <c r="F48" s="374" t="str" cm="1">
        <f t="array" ref="F48" xml:space="preserve"> INDEX(注音編碼對照表[國際音標], MATCH(TRUE, EXACT($C48, 注音編碼對照表[鍵盤按鍵] ),0))</f>
        <v>am</v>
      </c>
      <c r="I48" s="375">
        <f t="shared" si="2"/>
        <v>38</v>
      </c>
      <c r="J48" s="376" t="s">
        <v>286</v>
      </c>
      <c r="K48" s="377" t="str" cm="1">
        <f t="array" ref="K48" xml:space="preserve"> INDEX(注音編碼對照表[方音符號], MATCH(TRUE, EXACT($J48, 注音編碼對照表[鍵盤按鍵] ),0))</f>
        <v>ㆰ</v>
      </c>
      <c r="L48" s="261" t="str" cm="1">
        <f t="array" ref="L48" xml:space="preserve"> INDEX(注音編碼對照表[注音編碼], MATCH(TRUE, EXACT($J48, 注音編碼對照表[鍵盤按鍵] ),0))</f>
        <v>V</v>
      </c>
      <c r="M48" s="378" t="str" cm="1">
        <f t="array" ref="M48" xml:space="preserve"> INDEX(注音編碼對照表[國際音標], MATCH(TRUE, EXACT($J48, 注音編碼對照表[鍵盤按鍵] ),0))</f>
        <v>am</v>
      </c>
    </row>
    <row r="49" spans="2:13" ht="23.25">
      <c r="B49" s="113">
        <f t="shared" si="0"/>
        <v>39</v>
      </c>
      <c r="C49" s="191" t="str">
        <f t="shared" si="1"/>
        <v>0</v>
      </c>
      <c r="D49" s="370" t="str" cm="1">
        <f t="array" ref="D49" xml:space="preserve"> INDEX(注音編碼對照表[方音符號], MATCH(TRUE, EXACT($C49, 注音編碼對照表[鍵盤按鍵] ),0))</f>
        <v>ㄢ</v>
      </c>
      <c r="E49" s="192" t="str" cm="1">
        <f t="array" ref="E49" xml:space="preserve"> INDEX(注音編碼對照表[注音編碼], MATCH(TRUE, EXACT($C49, 注音編碼對照表[鍵盤按鍵] ),0))</f>
        <v>@</v>
      </c>
      <c r="F49" s="374" t="str" cm="1">
        <f t="array" ref="F49" xml:space="preserve"> INDEX(注音編碼對照表[國際音標], MATCH(TRUE, EXACT($C49, 注音編碼對照表[鍵盤按鍵] ),0))</f>
        <v>an</v>
      </c>
      <c r="I49" s="379">
        <f t="shared" si="2"/>
        <v>39</v>
      </c>
      <c r="J49" s="191" t="s">
        <v>180</v>
      </c>
      <c r="K49" s="370" t="str" cm="1">
        <f t="array" ref="K49" xml:space="preserve"> INDEX(注音編碼對照表[方音符號], MATCH(TRUE, EXACT($J49, 注音編碼對照表[鍵盤按鍵] ),0))</f>
        <v>ㄢ</v>
      </c>
      <c r="L49" s="192" t="str" cm="1">
        <f t="array" ref="L49" xml:space="preserve"> INDEX(注音編碼對照表[注音編碼], MATCH(TRUE, EXACT($J49, 注音編碼對照表[鍵盤按鍵] ),0))</f>
        <v>@</v>
      </c>
      <c r="M49" s="380" t="str" cm="1">
        <f t="array" ref="M49" xml:space="preserve"> INDEX(注音編碼對照表[國際音標], MATCH(TRUE, EXACT($J49, 注音編碼對照表[鍵盤按鍵] ),0))</f>
        <v>an</v>
      </c>
    </row>
    <row r="50" spans="2:13" ht="23.25">
      <c r="B50" s="113">
        <f t="shared" si="0"/>
        <v>40</v>
      </c>
      <c r="C50" s="191" t="str">
        <f t="shared" si="1"/>
        <v>;</v>
      </c>
      <c r="D50" s="370" t="str" cm="1">
        <f t="array" ref="D50" xml:space="preserve"> INDEX(注音編碼對照表[方音符號], MATCH(TRUE, EXACT($C50, 注音編碼對照表[鍵盤按鍵] ),0))</f>
        <v>ㄤ</v>
      </c>
      <c r="E50" s="192" t="str" cm="1">
        <f t="array" ref="E50" xml:space="preserve"> INDEX(注音編碼對照表[注音編碼], MATCH(TRUE, EXACT($C50, 注音編碼對照表[鍵盤按鍵] ),0))</f>
        <v>G</v>
      </c>
      <c r="F50" s="374" t="str" cm="1">
        <f t="array" ref="F50" xml:space="preserve"> INDEX(注音編碼對照表[國際音標], MATCH(TRUE, EXACT($C50, 注音編碼對照表[鍵盤按鍵] ),0))</f>
        <v>ɑŋ</v>
      </c>
      <c r="I50" s="381">
        <f t="shared" si="2"/>
        <v>40</v>
      </c>
      <c r="J50" s="382" t="s">
        <v>176</v>
      </c>
      <c r="K50" s="383" t="str" cm="1">
        <f t="array" ref="K50" xml:space="preserve"> INDEX(注音編碼對照表[方音符號], MATCH(TRUE, EXACT($J50, 注音編碼對照表[鍵盤按鍵] ),0))</f>
        <v>ㄤ</v>
      </c>
      <c r="L50" s="265" t="str" cm="1">
        <f t="array" ref="L50" xml:space="preserve"> INDEX(注音編碼對照表[注音編碼], MATCH(TRUE, EXACT($J50, 注音編碼對照表[鍵盤按鍵] ),0))</f>
        <v>G</v>
      </c>
      <c r="M50" s="384" t="str" cm="1">
        <f t="array" ref="M50" xml:space="preserve"> INDEX(注音編碼對照表[國際音標], MATCH(TRUE, EXACT($J50, 注音編碼對照表[鍵盤按鍵] ),0))</f>
        <v>ɑŋ</v>
      </c>
    </row>
    <row r="51" spans="2:13" ht="23.25">
      <c r="B51" s="113">
        <f t="shared" si="0"/>
        <v>41</v>
      </c>
      <c r="C51" s="191" t="str">
        <f t="shared" si="1"/>
        <v>O</v>
      </c>
      <c r="D51" s="370" t="str" cm="1">
        <f t="array" ref="D51" xml:space="preserve"> INDEX(注音編碼對照表[方音符號], MATCH(TRUE, EXACT($C51, 注音編碼對照表[鍵盤按鍵] ),0))</f>
        <v>ㆱ</v>
      </c>
      <c r="E51" s="192" t="str" cm="1">
        <f t="array" ref="E51" xml:space="preserve"> INDEX(注音編碼對照表[注音編碼], MATCH(TRUE, EXACT($C51, 注音編碼對照表[鍵盤按鍵] ),0))</f>
        <v>D</v>
      </c>
      <c r="F51" s="374" t="str" cm="1">
        <f t="array" ref="F51" xml:space="preserve"> INDEX(注音編碼對照表[國際音標], MATCH(TRUE, EXACT($C51, 注音編碼對照表[鍵盤按鍵] ),0))</f>
        <v>ɔm</v>
      </c>
      <c r="I51" s="375">
        <f t="shared" si="2"/>
        <v>41</v>
      </c>
      <c r="J51" s="376" t="s">
        <v>201</v>
      </c>
      <c r="K51" s="377" t="str" cm="1">
        <f t="array" ref="K51" xml:space="preserve"> INDEX(注音編碼對照表[方音符號], MATCH(TRUE, EXACT($J51, 注音編碼對照表[鍵盤按鍵] ),0))</f>
        <v>ㆱ</v>
      </c>
      <c r="L51" s="261" t="str" cm="1">
        <f t="array" ref="L51" xml:space="preserve"> INDEX(注音編碼對照表[注音編碼], MATCH(TRUE, EXACT($J51, 注音編碼對照表[鍵盤按鍵] ),0))</f>
        <v>D</v>
      </c>
      <c r="M51" s="378" t="str" cm="1">
        <f t="array" ref="M51" xml:space="preserve"> INDEX(注音編碼對照表[國際音標], MATCH(TRUE, EXACT($J51, 注音編碼對照表[鍵盤按鍵] ),0))</f>
        <v>ɔm</v>
      </c>
    </row>
    <row r="52" spans="2:13" ht="23.25">
      <c r="B52" s="113">
        <f t="shared" si="0"/>
        <v>42</v>
      </c>
      <c r="C52" s="191" t="str">
        <f t="shared" si="1"/>
        <v>o</v>
      </c>
      <c r="D52" s="370" t="str" cm="1">
        <f t="array" ref="D52" xml:space="preserve"> INDEX(注音編碼對照表[方音符號], MATCH(TRUE, EXACT($C52, 注音編碼對照表[鍵盤按鍵] ),0))</f>
        <v>ㆲ</v>
      </c>
      <c r="E52" s="192" t="str" cm="1">
        <f t="array" ref="E52" xml:space="preserve"> INDEX(注音編碼對照表[注音編碼], MATCH(TRUE, EXACT($C52, 注音編碼對照表[鍵盤按鍵] ),0))</f>
        <v>H</v>
      </c>
      <c r="F52" s="374" t="str" cm="1">
        <f t="array" ref="F52" xml:space="preserve"> INDEX(注音編碼對照表[國際音標], MATCH(TRUE, EXACT($C52, 注音編碼對照表[鍵盤按鍵] ),0))</f>
        <v>ɔŋ</v>
      </c>
      <c r="I52" s="381">
        <f t="shared" si="2"/>
        <v>42</v>
      </c>
      <c r="J52" s="382" t="s">
        <v>66</v>
      </c>
      <c r="K52" s="383" t="str" cm="1">
        <f t="array" ref="K52" xml:space="preserve"> INDEX(注音編碼對照表[方音符號], MATCH(TRUE, EXACT($J52, 注音編碼對照表[鍵盤按鍵] ),0))</f>
        <v>ㆲ</v>
      </c>
      <c r="L52" s="265" t="str" cm="1">
        <f t="array" ref="L52" xml:space="preserve"> INDEX(注音編碼對照表[注音編碼], MATCH(TRUE, EXACT($J52, 注音編碼對照表[鍵盤按鍵] ),0))</f>
        <v>H</v>
      </c>
      <c r="M52" s="384" t="str" cm="1">
        <f t="array" ref="M52" xml:space="preserve"> INDEX(注音編碼對照表[國際音標], MATCH(TRUE, EXACT($J52, 注音編碼對照表[鍵盤按鍵] ),0))</f>
        <v>ɔŋ</v>
      </c>
    </row>
    <row r="53" spans="2:13" ht="23.25">
      <c r="B53" s="113">
        <f t="shared" si="0"/>
        <v>43</v>
      </c>
      <c r="C53" s="191" t="str">
        <f t="shared" si="1"/>
        <v>m</v>
      </c>
      <c r="D53" s="370" t="str" cm="1">
        <f t="array" ref="D53" xml:space="preserve"> INDEX(注音編碼對照表[方音符號], MATCH(TRUE, EXACT($C53, 注音編碼對照表[鍵盤按鍵] ),0))</f>
        <v>ㆬ</v>
      </c>
      <c r="E53" s="192" t="str" cm="1">
        <f t="array" ref="E53" xml:space="preserve"> INDEX(注音編碼對照表[注音編碼], MATCH(TRUE, EXACT($C53, 注音編碼對照表[鍵盤按鍵] ),0))</f>
        <v>M</v>
      </c>
      <c r="F53" s="374" t="str" cm="1">
        <f t="array" ref="F53" xml:space="preserve"> INDEX(注音編碼對照表[國際音標], MATCH(TRUE, EXACT($C53, 注音編碼對照表[鍵盤按鍵] ),0))</f>
        <v>m̩</v>
      </c>
      <c r="I53" s="375">
        <f t="shared" si="2"/>
        <v>43</v>
      </c>
      <c r="J53" s="376" t="s">
        <v>142</v>
      </c>
      <c r="K53" s="377" t="str" cm="1">
        <f t="array" ref="K53" xml:space="preserve"> INDEX(注音編碼對照表[方音符號], MATCH(TRUE, EXACT($J53, 注音編碼對照表[鍵盤按鍵] ),0))</f>
        <v>ㆬ</v>
      </c>
      <c r="L53" s="261" t="str" cm="1">
        <f t="array" ref="L53" xml:space="preserve"> INDEX(注音編碼對照表[注音編碼], MATCH(TRUE, EXACT($J53, 注音編碼對照表[鍵盤按鍵] ),0))</f>
        <v>M</v>
      </c>
      <c r="M53" s="378" t="str" cm="1">
        <f t="array" ref="M53" xml:space="preserve"> INDEX(注音編碼對照表[國際音標], MATCH(TRUE, EXACT($J53, 注音編碼對照表[鍵盤按鍵] ),0))</f>
        <v>m̩</v>
      </c>
    </row>
    <row r="54" spans="2:13" ht="23.25">
      <c r="B54" s="113">
        <f t="shared" si="0"/>
        <v>44</v>
      </c>
      <c r="C54" s="191" t="str">
        <f t="shared" si="1"/>
        <v>p</v>
      </c>
      <c r="D54" s="370" t="str" cm="1">
        <f t="array" ref="D54" xml:space="preserve"> INDEX(注音編碼對照表[方音符號], MATCH(TRUE, EXACT($C54, 注音編碼對照表[鍵盤按鍵] ),0))</f>
        <v>ㄣ</v>
      </c>
      <c r="E54" s="192" t="str" cm="1">
        <f t="array" ref="E54" xml:space="preserve"> INDEX(注音編碼對照表[注音編碼], MATCH(TRUE, EXACT($C54, 注音編碼對照表[鍵盤按鍵] ),0))</f>
        <v>N</v>
      </c>
      <c r="F54" s="374" t="str" cm="1">
        <f t="array" ref="F54" xml:space="preserve"> INDEX(注音編碼對照表[國際音標], MATCH(TRUE, EXACT($C54, 注音編碼對照表[鍵盤按鍵] ),0))</f>
        <v>n</v>
      </c>
      <c r="I54" s="379">
        <f t="shared" si="2"/>
        <v>44</v>
      </c>
      <c r="J54" s="191" t="s">
        <v>178</v>
      </c>
      <c r="K54" s="370" t="str" cm="1">
        <f t="array" ref="K54" xml:space="preserve"> INDEX(注音編碼對照表[方音符號], MATCH(TRUE, EXACT($J54, 注音編碼對照表[鍵盤按鍵] ),0))</f>
        <v>ㄣ</v>
      </c>
      <c r="L54" s="192" t="str" cm="1">
        <f t="array" ref="L54" xml:space="preserve"> INDEX(注音編碼對照表[注音編碼], MATCH(TRUE, EXACT($J54, 注音編碼對照表[鍵盤按鍵] ),0))</f>
        <v>N</v>
      </c>
      <c r="M54" s="380" t="str" cm="1">
        <f t="array" ref="M54" xml:space="preserve"> INDEX(注音編碼對照表[國際音標], MATCH(TRUE, EXACT($J54, 注音編碼對照表[鍵盤按鍵] ),0))</f>
        <v>n</v>
      </c>
    </row>
    <row r="55" spans="2:13" ht="23.25">
      <c r="B55" s="113">
        <f t="shared" si="0"/>
        <v>45</v>
      </c>
      <c r="C55" s="191" t="str">
        <f t="shared" si="1"/>
        <v>/</v>
      </c>
      <c r="D55" s="370" t="str" cm="1">
        <f t="array" ref="D55" xml:space="preserve"> INDEX(注音編碼對照表[方音符號], MATCH(TRUE, EXACT($C55, 注音編碼對照表[鍵盤按鍵] ),0))</f>
        <v>ㆭ</v>
      </c>
      <c r="E55" s="192" t="str" cm="1">
        <f t="array" ref="E55" xml:space="preserve"> INDEX(注音編碼對照表[注音編碼], MATCH(TRUE, EXACT($C55, 注音編碼對照表[鍵盤按鍵] ),0))</f>
        <v>W</v>
      </c>
      <c r="F55" s="374" t="str" cm="1">
        <f t="array" ref="F55" xml:space="preserve"> INDEX(注音編碼對照表[國際音標], MATCH(TRUE, EXACT($C55, 注音編碼對照表[鍵盤按鍵] ),0))</f>
        <v>ŋ̍</v>
      </c>
      <c r="I55" s="381">
        <f t="shared" si="2"/>
        <v>45</v>
      </c>
      <c r="J55" s="382" t="s">
        <v>172</v>
      </c>
      <c r="K55" s="383" t="str" cm="1">
        <f t="array" ref="K55" xml:space="preserve"> INDEX(注音編碼對照表[方音符號], MATCH(TRUE, EXACT($J55, 注音編碼對照表[鍵盤按鍵] ),0))</f>
        <v>ㆭ</v>
      </c>
      <c r="L55" s="265" t="str" cm="1">
        <f t="array" ref="L55" xml:space="preserve"> INDEX(注音編碼對照表[注音編碼], MATCH(TRUE, EXACT($J55, 注音編碼對照表[鍵盤按鍵] ),0))</f>
        <v>W</v>
      </c>
      <c r="M55" s="384" t="str" cm="1">
        <f t="array" ref="M55" xml:space="preserve"> INDEX(注音編碼對照表[國際音標], MATCH(TRUE, EXACT($J55, 注音編碼對照表[鍵盤按鍵] ),0))</f>
        <v>ŋ̍</v>
      </c>
    </row>
    <row r="56" spans="2:13" ht="23.25">
      <c r="B56" s="113">
        <f t="shared" si="0"/>
        <v>46</v>
      </c>
      <c r="C56" s="191" t="str">
        <f t="shared" ref="C56:C62" si="3" xml:space="preserve"> MID($C$7, B56,1)</f>
        <v>.</v>
      </c>
      <c r="D56" s="370" t="str" cm="1">
        <f t="array" ref="D56" xml:space="preserve"> INDEX(注音編碼對照表[方音符號], MATCH(TRUE, EXACT($C56, 注音編碼對照表[鍵盤按鍵] ),0))</f>
        <v>ㄬ</v>
      </c>
      <c r="E56" s="192" t="str" cm="1">
        <f t="array" ref="E56" xml:space="preserve"> INDEX(注音編碼對照表[注音編碼], MATCH(TRUE, EXACT($C56, 注音編碼對照表[鍵盤按鍵] ),0))</f>
        <v>B</v>
      </c>
      <c r="F56" s="374" t="str" cm="1">
        <f t="array" ref="F56" xml:space="preserve"> INDEX(注音編碼對照表[國際音標], MATCH(TRUE, EXACT($C56, 注音編碼對照表[鍵盤按鍵] ),0))</f>
        <v>ɲ</v>
      </c>
      <c r="I56" s="389">
        <f t="shared" si="2"/>
        <v>46</v>
      </c>
      <c r="J56" s="390" t="s">
        <v>347</v>
      </c>
      <c r="K56" s="391" t="str" cm="1">
        <f t="array" ref="K56" xml:space="preserve"> INDEX(注音編碼對照表[方音符號], MATCH(TRUE, EXACT($J56, 注音編碼對照表[鍵盤按鍵] ),0))</f>
        <v>ㄬ</v>
      </c>
      <c r="L56" s="392" t="str" cm="1">
        <f t="array" ref="L56" xml:space="preserve"> INDEX(注音編碼對照表[注音編碼], MATCH(TRUE, EXACT($J56, 注音編碼對照表[鍵盤按鍵] ),0))</f>
        <v>B</v>
      </c>
      <c r="M56" s="393" t="str" cm="1">
        <f t="array" ref="M56" xml:space="preserve"> INDEX(注音編碼對照表[國際音標], MATCH(TRUE, EXACT($J56, 注音編碼對照表[鍵盤按鍵] ),0))</f>
        <v>ɲ</v>
      </c>
    </row>
    <row r="57" spans="2:13" ht="23.25">
      <c r="B57" s="113">
        <f t="shared" si="0"/>
        <v>47</v>
      </c>
      <c r="C57" s="191" t="str">
        <f t="shared" si="3"/>
        <v xml:space="preserve"> </v>
      </c>
      <c r="D57" s="370" t="str" cm="1">
        <f t="array" ref="D57" xml:space="preserve"> INDEX(注音編碼對照表[方音符號], MATCH(TRUE, EXACT($C57, 注音編碼對照表[鍵盤按鍵] ),0))</f>
        <v>ˉ</v>
      </c>
      <c r="E57" s="192" t="str" cm="1">
        <f t="array" ref="E57" xml:space="preserve"> INDEX(注音編碼對照表[注音編碼], MATCH(TRUE, EXACT($C57, 注音編碼對照表[鍵盤按鍵] ),0))</f>
        <v>¹</v>
      </c>
      <c r="F57" s="374" cm="1">
        <f t="array" ref="F57" xml:space="preserve"> INDEX(注音編碼對照表[國際音標], MATCH(TRUE, EXACT($C57, 注音編碼對照表[鍵盤按鍵] ),0))</f>
        <v>0</v>
      </c>
      <c r="G57">
        <f xml:space="preserve"> CODE(C57)</f>
        <v>32</v>
      </c>
      <c r="I57" s="375">
        <f t="shared" si="2"/>
        <v>47</v>
      </c>
      <c r="J57" s="376" t="s">
        <v>168</v>
      </c>
      <c r="K57" s="377" t="str" cm="1">
        <f t="array" ref="K57" xml:space="preserve"> INDEX(注音編碼對照表[方音符號], MATCH(TRUE, EXACT($J57, 注音編碼對照表[鍵盤按鍵] ),0))</f>
        <v>ˉ</v>
      </c>
      <c r="L57" s="261" t="str" cm="1">
        <f t="array" ref="L57" xml:space="preserve"> INDEX(注音編碼對照表[注音編碼], MATCH(TRUE, EXACT($J57, 注音編碼對照表[鍵盤按鍵] ),0))</f>
        <v>¹</v>
      </c>
      <c r="M57" s="378" cm="1">
        <f t="array" ref="M57" xml:space="preserve"> INDEX(注音編碼對照表[國際音標], MATCH(TRUE, EXACT($J57, 注音編碼對照表[鍵盤按鍵] ),0))</f>
        <v>0</v>
      </c>
    </row>
    <row r="58" spans="2:13" ht="23.25">
      <c r="B58" s="113">
        <f t="shared" si="0"/>
        <v>48</v>
      </c>
      <c r="C58" s="191" t="str">
        <f t="shared" si="3"/>
        <v>4</v>
      </c>
      <c r="D58" s="370" t="str" cm="1">
        <f t="array" ref="D58" xml:space="preserve"> INDEX(注音編碼對照表[方音符號], MATCH(TRUE, EXACT($C58, 注音編碼對照表[鍵盤按鍵] ),0))</f>
        <v>ˋ</v>
      </c>
      <c r="E58" s="192" t="str" cm="1">
        <f t="array" ref="E58" xml:space="preserve"> INDEX(注音編碼對照表[注音編碼], MATCH(TRUE, EXACT($C58, 注音編碼對照表[鍵盤按鍵] ),0))</f>
        <v>²</v>
      </c>
      <c r="F58" s="374" cm="1">
        <f t="array" ref="F58" xml:space="preserve"> INDEX(注音編碼對照表[國際音標], MATCH(TRUE, EXACT($C58, 注音編碼對照表[鍵盤按鍵] ),0))</f>
        <v>0</v>
      </c>
      <c r="I58" s="379">
        <f t="shared" si="2"/>
        <v>48</v>
      </c>
      <c r="J58" s="191" t="s">
        <v>167</v>
      </c>
      <c r="K58" s="370" t="str" cm="1">
        <f t="array" ref="K58" xml:space="preserve"> INDEX(注音編碼對照表[方音符號], MATCH(TRUE, EXACT($J58, 注音編碼對照表[鍵盤按鍵] ),0))</f>
        <v>ˋ</v>
      </c>
      <c r="L58" s="192" t="str" cm="1">
        <f t="array" ref="L58" xml:space="preserve"> INDEX(注音編碼對照表[注音編碼], MATCH(TRUE, EXACT($J58, 注音編碼對照表[鍵盤按鍵] ),0))</f>
        <v>²</v>
      </c>
      <c r="M58" s="380" cm="1">
        <f t="array" ref="M58" xml:space="preserve"> INDEX(注音編碼對照表[國際音標], MATCH(TRUE, EXACT($J58, 注音編碼對照表[鍵盤按鍵] ),0))</f>
        <v>0</v>
      </c>
    </row>
    <row r="59" spans="2:13" ht="23.25">
      <c r="B59" s="113">
        <f t="shared" si="0"/>
        <v>49</v>
      </c>
      <c r="C59" s="191" t="str">
        <f t="shared" si="3"/>
        <v>3</v>
      </c>
      <c r="D59" s="370" t="str" cm="1">
        <f t="array" ref="D59" xml:space="preserve"> INDEX(注音編碼對照表[方音符號], MATCH(TRUE, EXACT($C59, 注音編碼對照表[鍵盤按鍵] ),0))</f>
        <v>˪</v>
      </c>
      <c r="E59" s="192" t="str" cm="1">
        <f t="array" ref="E59" xml:space="preserve"> INDEX(注音編碼對照表[注音編碼], MATCH(TRUE, EXACT($C59, 注音編碼對照表[鍵盤按鍵] ),0))</f>
        <v>³</v>
      </c>
      <c r="F59" s="374" cm="1">
        <f t="array" ref="F59" xml:space="preserve"> INDEX(注音編碼對照表[國際音標], MATCH(TRUE, EXACT($C59, 注音編碼對照表[鍵盤按鍵] ),0))</f>
        <v>0</v>
      </c>
      <c r="I59" s="379">
        <f t="shared" si="2"/>
        <v>49</v>
      </c>
      <c r="J59" s="191" t="s">
        <v>166</v>
      </c>
      <c r="K59" s="370" t="str" cm="1">
        <f t="array" ref="K59" xml:space="preserve"> INDEX(注音編碼對照表[方音符號], MATCH(TRUE, EXACT($J59, 注音編碼對照表[鍵盤按鍵] ),0))</f>
        <v>˪</v>
      </c>
      <c r="L59" s="192" t="str" cm="1">
        <f t="array" ref="L59" xml:space="preserve"> INDEX(注音編碼對照表[注音編碼], MATCH(TRUE, EXACT($J59, 注音編碼對照表[鍵盤按鍵] ),0))</f>
        <v>³</v>
      </c>
      <c r="M59" s="380" cm="1">
        <f t="array" ref="M59" xml:space="preserve"> INDEX(注音編碼對照表[國際音標], MATCH(TRUE, EXACT($J59, 注音編碼對照表[鍵盤按鍵] ),0))</f>
        <v>0</v>
      </c>
    </row>
    <row r="60" spans="2:13" ht="23.25">
      <c r="B60" s="113">
        <f t="shared" si="0"/>
        <v>50</v>
      </c>
      <c r="C60" s="191" t="str">
        <f t="shared" si="3"/>
        <v>6</v>
      </c>
      <c r="D60" s="370" t="str" cm="1">
        <f t="array" ref="D60" xml:space="preserve"> INDEX(注音編碼對照表[方音符號], MATCH(TRUE, EXACT($C60, 注音編碼對照表[鍵盤按鍵] ),0))</f>
        <v>ˊ</v>
      </c>
      <c r="E60" s="192" t="str" cm="1">
        <f t="array" ref="E60" xml:space="preserve"> INDEX(注音編碼對照表[注音編碼], MATCH(TRUE, EXACT($C60, 注音編碼對照表[鍵盤按鍵] ),0))</f>
        <v>⁵</v>
      </c>
      <c r="F60" s="374" cm="1">
        <f t="array" ref="F60" xml:space="preserve"> INDEX(注音編碼對照表[國際音標], MATCH(TRUE, EXACT($C60, 注音編碼對照表[鍵盤按鍵] ),0))</f>
        <v>0</v>
      </c>
      <c r="I60" s="379">
        <f t="shared" si="2"/>
        <v>50</v>
      </c>
      <c r="J60" s="191" t="s">
        <v>156</v>
      </c>
      <c r="K60" s="370" t="str" cm="1">
        <f t="array" ref="K60" xml:space="preserve"> INDEX(注音編碼對照表[方音符號], MATCH(TRUE, EXACT($J60, 注音編碼對照表[鍵盤按鍵] ),0))</f>
        <v>ˊ</v>
      </c>
      <c r="L60" s="192" t="str" cm="1">
        <f t="array" ref="L60" xml:space="preserve"> INDEX(注音編碼對照表[注音編碼], MATCH(TRUE, EXACT($J60, 注音編碼對照表[鍵盤按鍵] ),0))</f>
        <v>⁵</v>
      </c>
      <c r="M60" s="380" cm="1">
        <f t="array" ref="M60" xml:space="preserve"> INDEX(注音編碼對照表[國際音標], MATCH(TRUE, EXACT($J60, 注音編碼對照表[鍵盤按鍵] ),0))</f>
        <v>0</v>
      </c>
    </row>
    <row r="61" spans="2:13" ht="23.25">
      <c r="B61" s="113">
        <f t="shared" si="0"/>
        <v>51</v>
      </c>
      <c r="C61" s="191" t="str">
        <f t="shared" si="3"/>
        <v>5</v>
      </c>
      <c r="D61" s="370" t="str" cm="1">
        <f t="array" ref="D61" xml:space="preserve"> INDEX(注音編碼對照表[方音符號], MATCH(TRUE, EXACT($C61, 注音編碼對照表[鍵盤按鍵] ),0))</f>
        <v>˫</v>
      </c>
      <c r="E61" s="192" t="str" cm="1">
        <f t="array" ref="E61" xml:space="preserve"> INDEX(注音編碼對照表[注音編碼], MATCH(TRUE, EXACT($C61, 注音編碼對照表[鍵盤按鍵] ),0))</f>
        <v>⁷</v>
      </c>
      <c r="F61" s="374" cm="1">
        <f t="array" ref="F61" xml:space="preserve"> INDEX(注音編碼對照表[國際音標], MATCH(TRUE, EXACT($C61, 注音編碼對照表[鍵盤按鍵] ),0))</f>
        <v>0</v>
      </c>
      <c r="I61" s="379">
        <f t="shared" si="2"/>
        <v>51</v>
      </c>
      <c r="J61" s="191" t="s">
        <v>154</v>
      </c>
      <c r="K61" s="370" t="str" cm="1">
        <f t="array" ref="K61" xml:space="preserve"> INDEX(注音編碼對照表[方音符號], MATCH(TRUE, EXACT($J61, 注音編碼對照表[鍵盤按鍵] ),0))</f>
        <v>˫</v>
      </c>
      <c r="L61" s="192" t="str" cm="1">
        <f t="array" ref="L61" xml:space="preserve"> INDEX(注音編碼對照表[注音編碼], MATCH(TRUE, EXACT($J61, 注音編碼對照表[鍵盤按鍵] ),0))</f>
        <v>⁷</v>
      </c>
      <c r="M61" s="380" cm="1">
        <f t="array" ref="M61" xml:space="preserve"> INDEX(注音編碼對照表[國際音標], MATCH(TRUE, EXACT($J61, 注音編碼對照表[鍵盤按鍵] ),0))</f>
        <v>0</v>
      </c>
    </row>
    <row r="62" spans="2:13" ht="23.25">
      <c r="B62" s="113">
        <f t="shared" si="0"/>
        <v>52</v>
      </c>
      <c r="C62" s="191" t="str">
        <f t="shared" si="3"/>
        <v>7</v>
      </c>
      <c r="D62" s="370" t="str" cm="1">
        <f t="array" ref="D62" xml:space="preserve"> INDEX(注音編碼對照表[方音符號], MATCH(TRUE, EXACT($C62, 注音編碼對照表[鍵盤按鍵] ),0))</f>
        <v>˙</v>
      </c>
      <c r="E62" s="192" t="str" cm="1">
        <f t="array" ref="E62" xml:space="preserve"> INDEX(注音編碼對照表[注音編碼], MATCH(TRUE, EXACT($C62, 注音編碼對照表[鍵盤按鍵] ),0))</f>
        <v>⁰</v>
      </c>
      <c r="F62" s="374" cm="1">
        <f t="array" ref="F62" xml:space="preserve"> INDEX(注音編碼對照表[國際音標], MATCH(TRUE, EXACT($C62, 注音編碼對照表[鍵盤按鍵] ),0))</f>
        <v>0</v>
      </c>
      <c r="I62" s="381">
        <f t="shared" si="2"/>
        <v>52</v>
      </c>
      <c r="J62" s="382" t="s">
        <v>151</v>
      </c>
      <c r="K62" s="383" t="str" cm="1">
        <f t="array" ref="K62" xml:space="preserve"> INDEX(注音編碼對照表[方音符號], MATCH(TRUE, EXACT($J62, 注音編碼對照表[鍵盤按鍵] ),0))</f>
        <v>˙</v>
      </c>
      <c r="L62" s="265" t="str" cm="1">
        <f t="array" ref="L62" xml:space="preserve"> INDEX(注音編碼對照表[注音編碼], MATCH(TRUE, EXACT($J62, 注音編碼對照表[鍵盤按鍵] ),0))</f>
        <v>⁰</v>
      </c>
      <c r="M62" s="384" cm="1">
        <f t="array" ref="M62" xml:space="preserve"> INDEX(注音編碼對照表[國際音標], MATCH(TRUE, EXACT($J62, 注音編碼對照表[鍵盤按鍵] ),0))</f>
        <v>0</v>
      </c>
    </row>
    <row r="63" spans="2:13">
      <c r="B63" s="113"/>
    </row>
  </sheetData>
  <phoneticPr fontId="9" type="noConversion"/>
  <conditionalFormatting sqref="C11:C62 J11:J62">
    <cfRule type="cellIs" dxfId="2" priority="4" operator="equal">
      <formula>CHAR(32)</formula>
    </cfRule>
  </conditionalFormatting>
  <conditionalFormatting sqref="E11:E62 L11:L62">
    <cfRule type="cellIs" dxfId="1" priority="3" operator="equal">
      <formula>CHAR(32)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9C6C-D82D-4721-BCB2-CDFB1A07BE11}">
  <sheetPr>
    <tabColor theme="9"/>
  </sheetPr>
  <dimension ref="B1:DE99"/>
  <sheetViews>
    <sheetView topLeftCell="B1" zoomScaleNormal="100" workbookViewId="0">
      <pane ySplit="2" topLeftCell="A3" activePane="bottomLeft" state="frozen"/>
      <selection activeCell="W1" sqref="W1"/>
      <selection pane="bottomLeft" activeCell="BF12" sqref="BF12:DE12"/>
    </sheetView>
  </sheetViews>
  <sheetFormatPr defaultRowHeight="30" outlineLevelCol="2"/>
  <cols>
    <col min="1" max="1" width="1.5" style="2" customWidth="1"/>
    <col min="2" max="2" width="105" style="2" customWidth="1"/>
    <col min="3" max="3" width="4.59765625" style="2" bestFit="1" customWidth="1"/>
    <col min="4" max="6" width="10.5" style="2" customWidth="1"/>
    <col min="7" max="7" width="5.3984375" style="2" customWidth="1"/>
    <col min="8" max="8" width="4.69921875" style="2" customWidth="1" outlineLevel="1"/>
    <col min="9" max="10" width="10.09765625" style="3" customWidth="1" outlineLevel="1"/>
    <col min="11" max="11" width="5.09765625" style="2" customWidth="1"/>
    <col min="12" max="12" width="4.69921875" style="2" customWidth="1" outlineLevel="1"/>
    <col min="13" max="13" width="10.09765625" style="4" customWidth="1" outlineLevel="1"/>
    <col min="14" max="14" width="10.09765625" style="3" customWidth="1" outlineLevel="1"/>
    <col min="15" max="15" width="5.09765625" style="2" hidden="1" customWidth="1" outlineLevel="2"/>
    <col min="16" max="16" width="4.69921875" style="2" hidden="1" customWidth="1" outlineLevel="2"/>
    <col min="17" max="17" width="10.09765625" style="2" hidden="1" customWidth="1" outlineLevel="2"/>
    <col min="18" max="18" width="10.09765625" style="5" hidden="1" customWidth="1" outlineLevel="2"/>
    <col min="19" max="19" width="8.796875" style="2" customWidth="1" outlineLevel="1" collapsed="1"/>
    <col min="20" max="20" width="4.69921875" style="2" customWidth="1" outlineLevel="1"/>
    <col min="21" max="23" width="9.796875" style="2" customWidth="1" outlineLevel="1"/>
    <col min="24" max="24" width="8.796875" customWidth="1" outlineLevel="1"/>
    <col min="25" max="25" width="9.796875" style="199" customWidth="1"/>
    <col min="26" max="26" width="5.59765625" customWidth="1"/>
    <col min="27" max="27" width="10.296875" style="2" customWidth="1"/>
    <col min="28" max="29" width="10.296875" style="210" customWidth="1"/>
    <col min="30" max="30" width="10.296875" style="296" customWidth="1"/>
    <col min="31" max="31" width="10.296875" style="210" customWidth="1"/>
    <col min="32" max="32" width="3" hidden="1" customWidth="1" outlineLevel="1"/>
    <col min="33" max="33" width="18.8984375" hidden="1" customWidth="1" outlineLevel="1"/>
    <col min="34" max="34" width="3" hidden="1" customWidth="1" outlineLevel="1"/>
    <col min="35" max="35" width="33.796875" hidden="1" customWidth="1" outlineLevel="1"/>
    <col min="36" max="36" width="3.09765625" style="199" customWidth="1" collapsed="1"/>
    <col min="37" max="37" width="22.5" style="400" customWidth="1"/>
    <col min="38" max="38" width="3.09765625" style="403" customWidth="1"/>
    <col min="39" max="39" width="11.69921875" style="2" customWidth="1"/>
    <col min="40" max="40" width="7.69921875" style="210" customWidth="1"/>
    <col min="41" max="41" width="4.296875" style="2" customWidth="1"/>
    <col min="42" max="42" width="5.5" style="2" customWidth="1"/>
    <col min="43" max="43" width="13.796875" style="2" customWidth="1"/>
    <col min="44" max="46" width="8.796875" style="2"/>
    <col min="47" max="47" width="12.59765625" style="2" customWidth="1"/>
    <col min="48" max="56" width="8.796875" style="2"/>
    <col min="57" max="57" width="7.69921875" style="2" customWidth="1"/>
    <col min="58" max="60" width="3.69921875" style="221" customWidth="1"/>
    <col min="61" max="109" width="3.69921875" style="2" customWidth="1"/>
    <col min="110" max="16384" width="8.796875" style="2"/>
  </cols>
  <sheetData>
    <row r="1" spans="2:109">
      <c r="B1" s="1" t="s">
        <v>0</v>
      </c>
      <c r="H1" s="1" t="s">
        <v>1</v>
      </c>
      <c r="L1" s="1" t="s">
        <v>2</v>
      </c>
      <c r="P1" s="1" t="s">
        <v>3</v>
      </c>
      <c r="T1" s="6" t="s">
        <v>4</v>
      </c>
      <c r="X1" s="199"/>
      <c r="Y1" s="2"/>
      <c r="Z1" s="7" t="s">
        <v>5</v>
      </c>
      <c r="AA1" s="101"/>
      <c r="AB1" s="101"/>
      <c r="AC1" s="396" t="s">
        <v>1477</v>
      </c>
      <c r="AD1" s="395"/>
      <c r="AE1" s="100"/>
      <c r="AF1" s="199"/>
      <c r="AG1" s="396" t="s">
        <v>1479</v>
      </c>
      <c r="AH1" s="199"/>
      <c r="AI1" s="396" t="s">
        <v>1478</v>
      </c>
      <c r="AJ1" s="2"/>
      <c r="AK1" s="398"/>
      <c r="AL1" s="401"/>
      <c r="AM1" s="210"/>
      <c r="AN1" s="2"/>
      <c r="BC1" s="11"/>
      <c r="BE1" s="221"/>
      <c r="BH1" s="2"/>
    </row>
    <row r="2" spans="2:109" ht="26.25" thickBot="1">
      <c r="B2" s="236" t="s">
        <v>1481</v>
      </c>
      <c r="I2" s="13" t="s">
        <v>342</v>
      </c>
      <c r="J2" s="14" t="s">
        <v>8</v>
      </c>
      <c r="M2" s="13" t="s">
        <v>8</v>
      </c>
      <c r="N2" s="14" t="s">
        <v>260</v>
      </c>
      <c r="Q2" s="13" t="s">
        <v>7</v>
      </c>
      <c r="R2" s="14" t="s">
        <v>365</v>
      </c>
      <c r="U2" s="209" t="s">
        <v>11</v>
      </c>
      <c r="V2" s="209" t="s">
        <v>367</v>
      </c>
      <c r="W2" s="209" t="s">
        <v>1460</v>
      </c>
      <c r="X2" s="209" t="s">
        <v>391</v>
      </c>
      <c r="Y2" s="209"/>
      <c r="Z2" s="316" t="s">
        <v>14</v>
      </c>
      <c r="AA2" s="193" t="s">
        <v>19</v>
      </c>
      <c r="AB2" s="195" t="s">
        <v>342</v>
      </c>
      <c r="AC2" s="194" t="s">
        <v>261</v>
      </c>
      <c r="AD2" s="302" t="s">
        <v>1452</v>
      </c>
      <c r="AE2" s="317" t="s">
        <v>263</v>
      </c>
      <c r="AF2" s="209"/>
      <c r="AG2" s="194" t="s">
        <v>261</v>
      </c>
      <c r="AH2" s="209"/>
      <c r="AI2" s="366" t="s">
        <v>1452</v>
      </c>
      <c r="AJ2" s="2"/>
      <c r="AK2" s="398"/>
      <c r="AL2" s="401"/>
      <c r="AM2" s="210"/>
      <c r="AN2" s="2"/>
      <c r="BC2" s="11"/>
      <c r="BE2" s="221"/>
      <c r="BH2" s="2"/>
    </row>
    <row r="3" spans="2:109" ht="33" thickTop="1">
      <c r="B3" s="2">
        <f xml:space="preserve"> SEARCH("|",$B$2,1)</f>
        <v>5</v>
      </c>
      <c r="H3" s="2">
        <f xml:space="preserve"> ROW() - 2</f>
        <v>1</v>
      </c>
      <c r="I3" s="98" t="str">
        <f t="shared" ref="I3:I34" si="0" xml:space="preserve"> IFERROR( MID($B$6, $H3, 1), "")</f>
        <v>p</v>
      </c>
      <c r="J3" s="98" t="str">
        <f t="shared" ref="J3:J34" si="1" xml:space="preserve"> IFERROR( MID($B$7, $H3, 1), "")</f>
        <v>1</v>
      </c>
      <c r="L3" s="2">
        <v>1</v>
      </c>
      <c r="M3" s="21" t="str">
        <f t="shared" ref="M3:M19" si="2" xml:space="preserve"> IFERROR( MID($B$15, $H3, 1), "")</f>
        <v>1</v>
      </c>
      <c r="N3" s="21" t="str">
        <f t="shared" ref="N3:N34" si="3" xml:space="preserve"> IFERROR( MID($B$16, $H3, 1), "")</f>
        <v>ㄅ</v>
      </c>
      <c r="P3" s="2">
        <v>1</v>
      </c>
      <c r="Q3" s="22" t="str">
        <f t="shared" ref="Q3:Q44" si="4" xml:space="preserve"> IFERROR( MID($B$25, $P3, 1), "")</f>
        <v/>
      </c>
      <c r="R3" s="22" t="str">
        <f t="shared" ref="R3:R44" si="5" xml:space="preserve"> IFERROR( MID($B$26, $P3, 1), "")</f>
        <v/>
      </c>
      <c r="T3" s="2">
        <v>1</v>
      </c>
      <c r="U3" s="201" t="str">
        <f t="shared" ref="U3:U34" si="6" xml:space="preserve"> J3</f>
        <v>1</v>
      </c>
      <c r="V3" s="203" t="str">
        <f t="shared" ref="V3:V34" si="7">I3</f>
        <v>p</v>
      </c>
      <c r="W3" s="202" t="str" cm="1">
        <f t="array" ref="W3" xml:space="preserve"> INDEX(注音編碼對照表[台語ㄅㄆㄇ], MATCH(TRUE, EXACT(表格1_33411[[#This Row],[鍵盤按鍵]], 注音編碼對照表[鍵盤按鍵] ),0))</f>
        <v>ㄅ</v>
      </c>
      <c r="X3" s="204" t="str" cm="1">
        <f t="array" ref="X3" xml:space="preserve"> INDEX(注音編碼對照表!$G$3:$G$60, MATCH(TRUE, EXACT(表格1_33411[[#This Row],[注音編碼]], 注音編碼對照表!$E$3:$E$54), 0))</f>
        <v>p</v>
      </c>
      <c r="Y3" s="24"/>
      <c r="Z3" s="31">
        <f>ROW() - 2</f>
        <v>1</v>
      </c>
      <c r="AA3" s="71" t="str">
        <f>使用按鍵解析!J11</f>
        <v>1</v>
      </c>
      <c r="AB3" s="192" t="str" cm="1">
        <f t="array" ref="AB3" xml:space="preserve"> INDEX(注音編碼對照表[注音編碼], MATCH(TRUE, EXACT(RIME設定解析!$AA3, 注音編碼對照表[鍵盤按鍵] ),0))</f>
        <v>p</v>
      </c>
      <c r="AC3" s="32" t="str" cm="1">
        <f t="array" ref="AC3" xml:space="preserve"> INDEX(注音編碼對照表[方音符號], MATCH(TRUE, EXACT(RIME設定解析!$AA3, 注音編碼對照表[鍵盤按鍵] ),0))</f>
        <v>ㄅ</v>
      </c>
      <c r="AD3" s="397" t="str" cm="1">
        <f t="array" ref="AD3" xml:space="preserve"> INDEX(注音編碼對照表[台語ㄅㄆㄇ], MATCH(TRUE, EXACT(RIME設定解析!$AA3, 注音編碼對照表[鍵盤按鍵] ),0))</f>
        <v>ㄅ</v>
      </c>
      <c r="AE3" s="264" t="str" cm="1">
        <f t="array" ref="AE3" xml:space="preserve"> INDEX(注音編碼對照表[台語音標], MATCH(TRUE, EXACT(RIME設定解析!$AA3, 注音編碼對照表[鍵盤按鍵] ),0))</f>
        <v>p</v>
      </c>
      <c r="AF3" s="204"/>
      <c r="AG3" s="364" t="str">
        <f xml:space="preserve"> """" &amp; $AA3 &amp; """ : """ &amp; AD3 &amp; ""","</f>
        <v>"1" : "ㄅ",</v>
      </c>
      <c r="AH3" s="204"/>
      <c r="AI3" s="365" t="str">
        <f xml:space="preserve"> """" &amp; $AA3 &amp; """ : { commit: """ &amp; AD3 &amp; """ }"</f>
        <v>"1" : { commit: "ㄅ" }</v>
      </c>
      <c r="AJ3" s="2"/>
      <c r="AK3" s="399" t="str">
        <f t="shared" ref="AK3:AK42" si="8" xml:space="preserve"> IF(LEN(AC3)=LEN(AD3), "", _xlfn.CONCAT( "xform/", AC3, "/", AD3, "/"))</f>
        <v/>
      </c>
      <c r="AL3" s="402"/>
      <c r="AM3" s="421" t="str">
        <f xml:space="preserve"> "  alphabet: '" &amp; _xlfn.CONCAT(AA$3:AA$54) &amp; "'"</f>
        <v xml:space="preserve">  alphabet: '1q!a2wsxyhnbYHNBedEgcuj8ik,9lUJ*I&lt;(L-M0;Oomp/. 43657'</v>
      </c>
      <c r="AN3" s="220"/>
      <c r="AO3" s="220"/>
      <c r="AP3" s="220"/>
      <c r="AQ3" s="220"/>
      <c r="AR3" s="220"/>
      <c r="AS3" s="220"/>
      <c r="AT3" s="220"/>
      <c r="AU3" s="220"/>
      <c r="BC3" s="11"/>
      <c r="BE3" s="221"/>
      <c r="BH3" s="2"/>
    </row>
    <row r="4" spans="2:109" ht="32.25">
      <c r="B4" s="2">
        <f xml:space="preserve"> SEARCH("|",$B$2,B3+1)</f>
        <v>53</v>
      </c>
      <c r="H4" s="2">
        <f t="shared" ref="H4:H49" si="9" xml:space="preserve"> ROW() - 2</f>
        <v>2</v>
      </c>
      <c r="I4" s="98" t="str">
        <f t="shared" si="0"/>
        <v>P</v>
      </c>
      <c r="J4" s="98" t="str">
        <f t="shared" si="1"/>
        <v>q</v>
      </c>
      <c r="L4" s="2">
        <v>2</v>
      </c>
      <c r="M4" s="21" t="str">
        <f t="shared" si="2"/>
        <v>q</v>
      </c>
      <c r="N4" s="21" t="str">
        <f t="shared" si="3"/>
        <v>ㄆ</v>
      </c>
      <c r="P4" s="2">
        <v>2</v>
      </c>
      <c r="Q4" s="22" t="str">
        <f t="shared" si="4"/>
        <v/>
      </c>
      <c r="R4" s="22" t="str">
        <f t="shared" si="5"/>
        <v/>
      </c>
      <c r="T4" s="2">
        <v>2</v>
      </c>
      <c r="U4" s="201" t="str">
        <f t="shared" si="6"/>
        <v>q</v>
      </c>
      <c r="V4" s="203" t="str">
        <f t="shared" si="7"/>
        <v>P</v>
      </c>
      <c r="W4" s="202" t="str" cm="1">
        <f t="array" ref="W4" xml:space="preserve"> INDEX(注音編碼對照表[台語ㄅㄆㄇ], MATCH(TRUE, EXACT(表格1_33411[[#This Row],[鍵盤按鍵]], 注音編碼對照表[鍵盤按鍵] ),0))</f>
        <v>ㄆ</v>
      </c>
      <c r="X4" s="204" t="str" cm="1">
        <f t="array" ref="X4" xml:space="preserve"> INDEX(注音編碼對照表!$G$3:$G$60, MATCH(TRUE, EXACT(表格1_33411[[#This Row],[注音編碼]], 注音編碼對照表!$E$3:$E$54), 0))</f>
        <v>ph</v>
      </c>
      <c r="Y4" s="24"/>
      <c r="Z4" s="31">
        <f t="shared" ref="Z4:Z54" si="10">ROW() - 2</f>
        <v>2</v>
      </c>
      <c r="AA4" s="71" t="str">
        <f>使用按鍵解析!J12</f>
        <v>q</v>
      </c>
      <c r="AB4" s="192" t="str" cm="1">
        <f t="array" ref="AB4" xml:space="preserve"> INDEX(注音編碼對照表[注音編碼], MATCH(TRUE, EXACT(RIME設定解析!$AA4, 注音編碼對照表[鍵盤按鍵] ),0))</f>
        <v>P</v>
      </c>
      <c r="AC4" s="32" t="str" cm="1">
        <f t="array" ref="AC4" xml:space="preserve"> INDEX(注音編碼對照表[方音符號], MATCH(TRUE, EXACT(RIME設定解析!$AA4, 注音編碼對照表[鍵盤按鍵] ),0))</f>
        <v>ㄆ</v>
      </c>
      <c r="AD4" s="397" t="str" cm="1">
        <f t="array" ref="AD4" xml:space="preserve"> INDEX(注音編碼對照表[台語ㄅㄆㄇ], MATCH(TRUE, EXACT(RIME設定解析!$AA4, 注音編碼對照表[鍵盤按鍵] ),0))</f>
        <v>ㄆ</v>
      </c>
      <c r="AE4" s="264" t="str" cm="1">
        <f t="array" ref="AE4" xml:space="preserve"> INDEX(注音編碼對照表[台語音標], MATCH(TRUE, EXACT(RIME設定解析!$AA4, 注音編碼對照表[鍵盤按鍵] ),0))</f>
        <v>ph</v>
      </c>
      <c r="AF4" s="204"/>
      <c r="AG4" s="364" t="str">
        <f t="shared" ref="AG4:AG54" si="11" xml:space="preserve"> """" &amp; $AA4 &amp; """ : """ &amp; AD4 &amp; ""","</f>
        <v>"q" : "ㄆ",</v>
      </c>
      <c r="AH4" s="204"/>
      <c r="AI4" s="365" t="str">
        <f t="shared" ref="AI4:AI54" si="12" xml:space="preserve"> """" &amp; $AA4 &amp; """ : { commit: """ &amp; AD4 &amp; """ }"</f>
        <v>"q" : { commit: "ㄆ" }</v>
      </c>
      <c r="AJ4" s="2"/>
      <c r="AK4" s="399" t="str">
        <f t="shared" si="8"/>
        <v/>
      </c>
      <c r="AL4" s="402"/>
      <c r="AM4" s="421" t="str">
        <f xml:space="preserve"> "  initials: '" &amp; _xlfn.CONCAT(AA$3:AA$48) &amp; "'"</f>
        <v xml:space="preserve">  initials: '1q!a2wsxyhnbYHNBedEgcuj8ik,9lUJ*I&lt;(L-M0;Oomp/.'</v>
      </c>
      <c r="AN4" s="220"/>
      <c r="AO4" s="220"/>
      <c r="AP4" s="220"/>
      <c r="AQ4" s="220"/>
      <c r="AR4" s="220"/>
      <c r="AS4" s="220"/>
      <c r="AT4" s="220"/>
      <c r="AU4" s="220"/>
      <c r="BC4" s="11"/>
      <c r="BE4" s="221"/>
      <c r="BH4" s="2"/>
    </row>
    <row r="5" spans="2:109" ht="32.25">
      <c r="B5" s="2">
        <f xml:space="preserve"> SEARCH("|",$B$2,B4+1)</f>
        <v>101</v>
      </c>
      <c r="H5" s="2">
        <f t="shared" si="9"/>
        <v>3</v>
      </c>
      <c r="I5" s="98" t="str">
        <f t="shared" si="0"/>
        <v>b</v>
      </c>
      <c r="J5" s="98" t="str">
        <f t="shared" si="1"/>
        <v>!</v>
      </c>
      <c r="L5" s="2">
        <v>3</v>
      </c>
      <c r="M5" s="21" t="str">
        <f t="shared" si="2"/>
        <v>!</v>
      </c>
      <c r="N5" s="21" t="str">
        <f t="shared" si="3"/>
        <v>ㆠ</v>
      </c>
      <c r="P5" s="2">
        <v>3</v>
      </c>
      <c r="Q5" s="22" t="str">
        <f t="shared" si="4"/>
        <v/>
      </c>
      <c r="R5" s="22" t="str">
        <f t="shared" si="5"/>
        <v/>
      </c>
      <c r="T5" s="2">
        <v>3</v>
      </c>
      <c r="U5" s="201" t="str">
        <f t="shared" si="6"/>
        <v>!</v>
      </c>
      <c r="V5" s="203" t="str">
        <f t="shared" si="7"/>
        <v>b</v>
      </c>
      <c r="W5" s="202" t="str" cm="1">
        <f t="array" ref="W5" xml:space="preserve"> INDEX(注音編碼對照表[台語ㄅㄆㄇ], MATCH(TRUE, EXACT(表格1_33411[[#This Row],[鍵盤按鍵]], 注音編碼對照表[鍵盤按鍵] ),0))</f>
        <v>ㆠ</v>
      </c>
      <c r="X5" s="204" t="str" cm="1">
        <f t="array" ref="X5" xml:space="preserve"> INDEX(注音編碼對照表!$G$3:$G$60, MATCH(TRUE, EXACT(表格1_33411[[#This Row],[注音編碼]], 注音編碼對照表!$E$3:$E$54), 0))</f>
        <v>b</v>
      </c>
      <c r="Y5" s="24"/>
      <c r="Z5" s="31">
        <f t="shared" si="10"/>
        <v>3</v>
      </c>
      <c r="AA5" s="71" t="str">
        <f>使用按鍵解析!J13</f>
        <v>!</v>
      </c>
      <c r="AB5" s="192" t="str" cm="1">
        <f t="array" ref="AB5" xml:space="preserve"> INDEX(注音編碼對照表[注音編碼], MATCH(TRUE, EXACT(RIME設定解析!$AA5, 注音編碼對照表[鍵盤按鍵] ),0))</f>
        <v>b</v>
      </c>
      <c r="AC5" s="32" t="str" cm="1">
        <f t="array" ref="AC5" xml:space="preserve"> INDEX(注音編碼對照表[方音符號], MATCH(TRUE, EXACT(RIME設定解析!$AA5, 注音編碼對照表[鍵盤按鍵] ),0))</f>
        <v>ㆠ</v>
      </c>
      <c r="AD5" s="397" t="str" cm="1">
        <f t="array" ref="AD5" xml:space="preserve"> INDEX(注音編碼對照表[台語ㄅㄆㄇ], MATCH(TRUE, EXACT(RIME設定解析!$AA5, 注音編碼對照表[鍵盤按鍵] ),0))</f>
        <v>ㆠ</v>
      </c>
      <c r="AE5" s="264" t="str" cm="1">
        <f t="array" ref="AE5" xml:space="preserve"> INDEX(注音編碼對照表[台語音標], MATCH(TRUE, EXACT(RIME設定解析!$AA5, 注音編碼對照表[鍵盤按鍵] ),0))</f>
        <v>b</v>
      </c>
      <c r="AF5" s="204"/>
      <c r="AG5" s="364" t="str">
        <f t="shared" si="11"/>
        <v>"!" : "ㆠ",</v>
      </c>
      <c r="AH5" s="204"/>
      <c r="AI5" s="365" t="str">
        <f t="shared" si="12"/>
        <v>"!" : { commit: "ㆠ" }</v>
      </c>
      <c r="AJ5" s="2"/>
      <c r="AK5" s="399" t="str">
        <f t="shared" si="8"/>
        <v/>
      </c>
      <c r="AL5" s="402"/>
      <c r="AM5" s="421" t="str">
        <f xml:space="preserve"> "  finals:   '" &amp; _xlfn.CONCAT(AA$49:AA$54) &amp; "'"</f>
        <v xml:space="preserve">  finals:   ' 43657'</v>
      </c>
      <c r="AN5" s="220"/>
      <c r="AO5" s="220"/>
      <c r="AP5" s="220"/>
      <c r="AQ5" s="220"/>
      <c r="AR5" s="220"/>
      <c r="AS5" s="220"/>
      <c r="AT5" s="220"/>
      <c r="AU5" s="220"/>
      <c r="BC5" s="11"/>
      <c r="BE5" s="221"/>
      <c r="BH5" s="2"/>
    </row>
    <row r="6" spans="2:109" ht="32.25">
      <c r="B6" s="50" t="str">
        <f xml:space="preserve"> MID($B$2,B3+1, B4-B3-1)</f>
        <v>pPbmtTnlzcjskKgwhiuaOoeyx@GRIUAQEYXVHWNMB123570</v>
      </c>
      <c r="C6" s="51">
        <f xml:space="preserve"> LEN(B6)</f>
        <v>47</v>
      </c>
      <c r="H6" s="2">
        <f t="shared" si="9"/>
        <v>4</v>
      </c>
      <c r="I6" s="98" t="str">
        <f t="shared" si="0"/>
        <v>m</v>
      </c>
      <c r="J6" s="98" t="str">
        <f t="shared" si="1"/>
        <v>a</v>
      </c>
      <c r="L6" s="2">
        <v>4</v>
      </c>
      <c r="M6" s="21" t="str">
        <f t="shared" si="2"/>
        <v>a</v>
      </c>
      <c r="N6" s="21" t="str">
        <f t="shared" si="3"/>
        <v>ㄇ</v>
      </c>
      <c r="P6" s="2">
        <v>4</v>
      </c>
      <c r="Q6" s="22" t="str">
        <f t="shared" si="4"/>
        <v/>
      </c>
      <c r="R6" s="22" t="str">
        <f t="shared" si="5"/>
        <v/>
      </c>
      <c r="T6" s="2">
        <v>4</v>
      </c>
      <c r="U6" s="201" t="str">
        <f t="shared" si="6"/>
        <v>a</v>
      </c>
      <c r="V6" s="203" t="str">
        <f t="shared" si="7"/>
        <v>m</v>
      </c>
      <c r="W6" s="202" t="str" cm="1">
        <f t="array" ref="W6" xml:space="preserve"> INDEX(注音編碼對照表[台語ㄅㄆㄇ], MATCH(TRUE, EXACT(表格1_33411[[#This Row],[鍵盤按鍵]], 注音編碼對照表[鍵盤按鍵] ),0))</f>
        <v>ㄇ</v>
      </c>
      <c r="X6" s="204" t="str" cm="1">
        <f t="array" ref="X6" xml:space="preserve"> INDEX(注音編碼對照表!$G$3:$G$60, MATCH(TRUE, EXACT(表格1_33411[[#This Row],[注音編碼]], 注音編碼對照表!$E$3:$E$54), 0))</f>
        <v>m</v>
      </c>
      <c r="Y6" s="24"/>
      <c r="Z6" s="31">
        <f t="shared" si="10"/>
        <v>4</v>
      </c>
      <c r="AA6" s="71" t="str">
        <f>使用按鍵解析!J14</f>
        <v>a</v>
      </c>
      <c r="AB6" s="192" t="str" cm="1">
        <f t="array" ref="AB6" xml:space="preserve"> INDEX(注音編碼對照表[注音編碼], MATCH(TRUE, EXACT(RIME設定解析!$AA6, 注音編碼對照表[鍵盤按鍵] ),0))</f>
        <v>m</v>
      </c>
      <c r="AC6" s="32" t="str" cm="1">
        <f t="array" ref="AC6" xml:space="preserve"> INDEX(注音編碼對照表[方音符號], MATCH(TRUE, EXACT(RIME設定解析!$AA6, 注音編碼對照表[鍵盤按鍵] ),0))</f>
        <v>ㄇ</v>
      </c>
      <c r="AD6" s="397" t="str" cm="1">
        <f t="array" ref="AD6" xml:space="preserve"> INDEX(注音編碼對照表[台語ㄅㄆㄇ], MATCH(TRUE, EXACT(RIME設定解析!$AA6, 注音編碼對照表[鍵盤按鍵] ),0))</f>
        <v>ㄇ</v>
      </c>
      <c r="AE6" s="264" t="str" cm="1">
        <f t="array" ref="AE6" xml:space="preserve"> INDEX(注音編碼對照表[台語音標], MATCH(TRUE, EXACT(RIME設定解析!$AA6, 注音編碼對照表[鍵盤按鍵] ),0))</f>
        <v>m</v>
      </c>
      <c r="AF6" s="204"/>
      <c r="AG6" s="364" t="str">
        <f t="shared" si="11"/>
        <v>"a" : "ㄇ",</v>
      </c>
      <c r="AH6" s="204"/>
      <c r="AI6" s="365" t="str">
        <f t="shared" si="12"/>
        <v>"a" : { commit: "ㄇ" }</v>
      </c>
      <c r="AJ6" s="2"/>
      <c r="AK6" s="399" t="str">
        <f t="shared" si="8"/>
        <v/>
      </c>
      <c r="AL6" s="402"/>
      <c r="AM6" s="210"/>
      <c r="AN6" s="2"/>
      <c r="BC6" s="11"/>
      <c r="BE6" s="221"/>
      <c r="BH6" s="2"/>
    </row>
    <row r="7" spans="2:109" ht="32.25">
      <c r="B7" s="50" t="str">
        <f xml:space="preserve"> MID($B$2,B4+1, B5-B4-1)</f>
        <v>1q!a2wsxyhbnedEgcuj8ik,9l0;-UJ*I&lt;(LMo/pm. 43657</v>
      </c>
      <c r="C7" s="51">
        <f xml:space="preserve"> LEN(B7)</f>
        <v>47</v>
      </c>
      <c r="H7" s="2">
        <f t="shared" si="9"/>
        <v>5</v>
      </c>
      <c r="I7" s="98" t="str">
        <f t="shared" si="0"/>
        <v>t</v>
      </c>
      <c r="J7" s="98" t="str">
        <f t="shared" si="1"/>
        <v>2</v>
      </c>
      <c r="L7" s="2">
        <v>5</v>
      </c>
      <c r="M7" s="21" t="str">
        <f t="shared" si="2"/>
        <v>2</v>
      </c>
      <c r="N7" s="21" t="str">
        <f t="shared" si="3"/>
        <v>ㄉ</v>
      </c>
      <c r="P7" s="2">
        <v>5</v>
      </c>
      <c r="Q7" s="22" t="str">
        <f t="shared" si="4"/>
        <v/>
      </c>
      <c r="R7" s="22" t="str">
        <f t="shared" si="5"/>
        <v/>
      </c>
      <c r="T7" s="2">
        <v>5</v>
      </c>
      <c r="U7" s="201" t="str">
        <f t="shared" si="6"/>
        <v>2</v>
      </c>
      <c r="V7" s="203" t="str">
        <f t="shared" si="7"/>
        <v>t</v>
      </c>
      <c r="W7" s="202" t="str" cm="1">
        <f t="array" ref="W7" xml:space="preserve"> INDEX(注音編碼對照表[台語ㄅㄆㄇ], MATCH(TRUE, EXACT(表格1_33411[[#This Row],[鍵盤按鍵]], 注音編碼對照表[鍵盤按鍵] ),0))</f>
        <v>ㄉ</v>
      </c>
      <c r="X7" s="204" t="str" cm="1">
        <f t="array" ref="X7" xml:space="preserve"> INDEX(注音編碼對照表!$G$3:$G$60, MATCH(TRUE, EXACT(表格1_33411[[#This Row],[注音編碼]], 注音編碼對照表!$E$3:$E$54), 0))</f>
        <v>t</v>
      </c>
      <c r="Y7" s="24"/>
      <c r="Z7" s="31">
        <f t="shared" si="10"/>
        <v>5</v>
      </c>
      <c r="AA7" s="71" t="str">
        <f>使用按鍵解析!J15</f>
        <v>2</v>
      </c>
      <c r="AB7" s="192" t="str" cm="1">
        <f t="array" ref="AB7" xml:space="preserve"> INDEX(注音編碼對照表[注音編碼], MATCH(TRUE, EXACT(RIME設定解析!$AA7, 注音編碼對照表[鍵盤按鍵] ),0))</f>
        <v>t</v>
      </c>
      <c r="AC7" s="32" t="str" cm="1">
        <f t="array" ref="AC7" xml:space="preserve"> INDEX(注音編碼對照表[方音符號], MATCH(TRUE, EXACT(RIME設定解析!$AA7, 注音編碼對照表[鍵盤按鍵] ),0))</f>
        <v>ㄉ</v>
      </c>
      <c r="AD7" s="397" t="str" cm="1">
        <f t="array" ref="AD7" xml:space="preserve"> INDEX(注音編碼對照表[台語ㄅㄆㄇ], MATCH(TRUE, EXACT(RIME設定解析!$AA7, 注音編碼對照表[鍵盤按鍵] ),0))</f>
        <v>ㄉ</v>
      </c>
      <c r="AE7" s="264" t="str" cm="1">
        <f t="array" ref="AE7" xml:space="preserve"> INDEX(注音編碼對照表[台語音標], MATCH(TRUE, EXACT(RIME設定解析!$AA7, 注音編碼對照表[鍵盤按鍵] ),0))</f>
        <v>t</v>
      </c>
      <c r="AF7" s="204"/>
      <c r="AG7" s="364" t="str">
        <f t="shared" si="11"/>
        <v>"2" : "ㄉ",</v>
      </c>
      <c r="AH7" s="204"/>
      <c r="AI7" s="365" t="str">
        <f t="shared" si="12"/>
        <v>"2" : { commit: "ㄉ" }</v>
      </c>
      <c r="AJ7" s="2"/>
      <c r="AK7" s="399" t="str">
        <f t="shared" si="8"/>
        <v/>
      </c>
      <c r="AL7" s="402"/>
      <c r="AM7" s="210"/>
      <c r="AN7" s="2"/>
      <c r="BC7" s="11"/>
      <c r="BE7" s="221"/>
      <c r="BH7" s="2"/>
    </row>
    <row r="8" spans="2:109" ht="32.25">
      <c r="H8" s="2">
        <f t="shared" si="9"/>
        <v>6</v>
      </c>
      <c r="I8" s="98" t="str">
        <f t="shared" si="0"/>
        <v>T</v>
      </c>
      <c r="J8" s="98" t="str">
        <f t="shared" si="1"/>
        <v>w</v>
      </c>
      <c r="L8" s="2">
        <v>6</v>
      </c>
      <c r="M8" s="21" t="str">
        <f t="shared" si="2"/>
        <v>w</v>
      </c>
      <c r="N8" s="21" t="str">
        <f t="shared" si="3"/>
        <v>ㄊ</v>
      </c>
      <c r="P8" s="2">
        <v>6</v>
      </c>
      <c r="Q8" s="22" t="str">
        <f t="shared" si="4"/>
        <v/>
      </c>
      <c r="R8" s="22" t="str">
        <f t="shared" si="5"/>
        <v/>
      </c>
      <c r="T8" s="2">
        <v>6</v>
      </c>
      <c r="U8" s="201" t="str">
        <f t="shared" si="6"/>
        <v>w</v>
      </c>
      <c r="V8" s="203" t="str">
        <f t="shared" si="7"/>
        <v>T</v>
      </c>
      <c r="W8" s="202" t="str" cm="1">
        <f t="array" ref="W8" xml:space="preserve"> INDEX(注音編碼對照表[台語ㄅㄆㄇ], MATCH(TRUE, EXACT(表格1_33411[[#This Row],[鍵盤按鍵]], 注音編碼對照表[鍵盤按鍵] ),0))</f>
        <v>ㄊ</v>
      </c>
      <c r="X8" s="204" t="str" cm="1">
        <f t="array" ref="X8" xml:space="preserve"> INDEX(注音編碼對照表!$G$3:$G$60, MATCH(TRUE, EXACT(表格1_33411[[#This Row],[注音編碼]], 注音編碼對照表!$E$3:$E$54), 0))</f>
        <v>th</v>
      </c>
      <c r="Y8" s="24"/>
      <c r="Z8" s="31">
        <f t="shared" si="10"/>
        <v>6</v>
      </c>
      <c r="AA8" s="71" t="str">
        <f>使用按鍵解析!J16</f>
        <v>w</v>
      </c>
      <c r="AB8" s="192" t="str" cm="1">
        <f t="array" ref="AB8" xml:space="preserve"> INDEX(注音編碼對照表[注音編碼], MATCH(TRUE, EXACT(RIME設定解析!$AA8, 注音編碼對照表[鍵盤按鍵] ),0))</f>
        <v>T</v>
      </c>
      <c r="AC8" s="32" t="str" cm="1">
        <f t="array" ref="AC8" xml:space="preserve"> INDEX(注音編碼對照表[方音符號], MATCH(TRUE, EXACT(RIME設定解析!$AA8, 注音編碼對照表[鍵盤按鍵] ),0))</f>
        <v>ㄊ</v>
      </c>
      <c r="AD8" s="397" t="str" cm="1">
        <f t="array" ref="AD8" xml:space="preserve"> INDEX(注音編碼對照表[台語ㄅㄆㄇ], MATCH(TRUE, EXACT(RIME設定解析!$AA8, 注音編碼對照表[鍵盤按鍵] ),0))</f>
        <v>ㄊ</v>
      </c>
      <c r="AE8" s="264" t="str" cm="1">
        <f t="array" ref="AE8" xml:space="preserve"> INDEX(注音編碼對照表[台語音標], MATCH(TRUE, EXACT(RIME設定解析!$AA8, 注音編碼對照表[鍵盤按鍵] ),0))</f>
        <v>th</v>
      </c>
      <c r="AF8" s="204"/>
      <c r="AG8" s="364" t="str">
        <f t="shared" si="11"/>
        <v>"w" : "ㄊ",</v>
      </c>
      <c r="AH8" s="204"/>
      <c r="AI8" s="365" t="str">
        <f t="shared" si="12"/>
        <v>"w" : { commit: "ㄊ" }</v>
      </c>
      <c r="AJ8" s="2"/>
      <c r="AK8" s="399" t="str">
        <f t="shared" si="8"/>
        <v/>
      </c>
      <c r="AL8" s="402"/>
      <c r="AM8" s="211" t="s">
        <v>375</v>
      </c>
      <c r="AN8" s="2"/>
      <c r="AO8" s="229" t="str">
        <f xml:space="preserve"> """xlit|" &amp; AO9 &amp; "|" &amp; AO10 &amp; "|"""</f>
        <v>"xlit|pPbmtTnlzcsjZCSJkKgwhiuaOoeyxIUAQEYXRV@GDHMNWB¹²³⁵⁷⁰|1q!a2wsxyhnbYHNBedEgcuj8ik,9lUJ*I&lt;(L-M0;Oomp/. 43657|"</v>
      </c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232"/>
      <c r="BE8" s="221"/>
      <c r="BF8" s="327" cm="1">
        <f t="array" ref="BF8" xml:space="preserve"> COLUMN() - COLUMN($BE:$BE)</f>
        <v>1</v>
      </c>
      <c r="BG8" s="327" cm="1">
        <f t="array" ref="BG8" xml:space="preserve"> COLUMN() - COLUMN($BE:$BE)</f>
        <v>2</v>
      </c>
      <c r="BH8" s="327" cm="1">
        <f t="array" ref="BH8" xml:space="preserve"> COLUMN() - COLUMN($BE:$BE)</f>
        <v>3</v>
      </c>
      <c r="BI8" s="327" cm="1">
        <f t="array" ref="BI8" xml:space="preserve"> COLUMN() - COLUMN($BE:$BE)</f>
        <v>4</v>
      </c>
      <c r="BJ8" s="327" cm="1">
        <f t="array" ref="BJ8" xml:space="preserve"> COLUMN() - COLUMN($BE:$BE)</f>
        <v>5</v>
      </c>
      <c r="BK8" s="327" cm="1">
        <f t="array" ref="BK8" xml:space="preserve"> COLUMN() - COLUMN($BE:$BE)</f>
        <v>6</v>
      </c>
      <c r="BL8" s="327" cm="1">
        <f t="array" ref="BL8" xml:space="preserve"> COLUMN() - COLUMN($BE:$BE)</f>
        <v>7</v>
      </c>
      <c r="BM8" s="327" cm="1">
        <f t="array" ref="BM8" xml:space="preserve"> COLUMN() - COLUMN($BE:$BE)</f>
        <v>8</v>
      </c>
      <c r="BN8" s="327" cm="1">
        <f t="array" ref="BN8" xml:space="preserve"> COLUMN() - COLUMN($BE:$BE)</f>
        <v>9</v>
      </c>
      <c r="BO8" s="327" cm="1">
        <f t="array" ref="BO8" xml:space="preserve"> COLUMN() - COLUMN($BE:$BE)</f>
        <v>10</v>
      </c>
      <c r="BP8" s="327" cm="1">
        <f t="array" ref="BP8" xml:space="preserve"> COLUMN() - COLUMN($BE:$BE)</f>
        <v>11</v>
      </c>
      <c r="BQ8" s="327" cm="1">
        <f t="array" ref="BQ8" xml:space="preserve"> COLUMN() - COLUMN($BE:$BE)</f>
        <v>12</v>
      </c>
      <c r="BR8" s="327" cm="1">
        <f t="array" ref="BR8" xml:space="preserve"> COLUMN() - COLUMN($BE:$BE)</f>
        <v>13</v>
      </c>
      <c r="BS8" s="327" cm="1">
        <f t="array" ref="BS8" xml:space="preserve"> COLUMN() - COLUMN($BE:$BE)</f>
        <v>14</v>
      </c>
      <c r="BT8" s="327" cm="1">
        <f t="array" ref="BT8" xml:space="preserve"> COLUMN() - COLUMN($BE:$BE)</f>
        <v>15</v>
      </c>
      <c r="BU8" s="327" cm="1">
        <f t="array" ref="BU8" xml:space="preserve"> COLUMN() - COLUMN($BE:$BE)</f>
        <v>16</v>
      </c>
      <c r="BV8" s="327" cm="1">
        <f t="array" ref="BV8" xml:space="preserve"> COLUMN() - COLUMN($BE:$BE)</f>
        <v>17</v>
      </c>
      <c r="BW8" s="327" cm="1">
        <f t="array" ref="BW8" xml:space="preserve"> COLUMN() - COLUMN($BE:$BE)</f>
        <v>18</v>
      </c>
      <c r="BX8" s="327" cm="1">
        <f t="array" ref="BX8" xml:space="preserve"> COLUMN() - COLUMN($BE:$BE)</f>
        <v>19</v>
      </c>
      <c r="BY8" s="327" cm="1">
        <f t="array" ref="BY8" xml:space="preserve"> COLUMN() - COLUMN($BE:$BE)</f>
        <v>20</v>
      </c>
      <c r="BZ8" s="327" cm="1">
        <f t="array" ref="BZ8" xml:space="preserve"> COLUMN() - COLUMN($BE:$BE)</f>
        <v>21</v>
      </c>
      <c r="CA8" s="327" cm="1">
        <f t="array" ref="CA8" xml:space="preserve"> COLUMN() - COLUMN($BE:$BE)</f>
        <v>22</v>
      </c>
      <c r="CB8" s="327" cm="1">
        <f t="array" ref="CB8" xml:space="preserve"> COLUMN() - COLUMN($BE:$BE)</f>
        <v>23</v>
      </c>
      <c r="CC8" s="327" cm="1">
        <f t="array" ref="CC8" xml:space="preserve"> COLUMN() - COLUMN($BE:$BE)</f>
        <v>24</v>
      </c>
      <c r="CD8" s="327" cm="1">
        <f t="array" ref="CD8" xml:space="preserve"> COLUMN() - COLUMN($BE:$BE)</f>
        <v>25</v>
      </c>
      <c r="CE8" s="327" cm="1">
        <f t="array" ref="CE8" xml:space="preserve"> COLUMN() - COLUMN($BE:$BE)</f>
        <v>26</v>
      </c>
      <c r="CF8" s="327" cm="1">
        <f t="array" ref="CF8" xml:space="preserve"> COLUMN() - COLUMN($BE:$BE)</f>
        <v>27</v>
      </c>
      <c r="CG8" s="327" cm="1">
        <f t="array" ref="CG8" xml:space="preserve"> COLUMN() - COLUMN($BE:$BE)</f>
        <v>28</v>
      </c>
      <c r="CH8" s="327" cm="1">
        <f t="array" ref="CH8" xml:space="preserve"> COLUMN() - COLUMN($BE:$BE)</f>
        <v>29</v>
      </c>
      <c r="CI8" s="327" cm="1">
        <f t="array" ref="CI8" xml:space="preserve"> COLUMN() - COLUMN($BE:$BE)</f>
        <v>30</v>
      </c>
      <c r="CJ8" s="327" cm="1">
        <f t="array" ref="CJ8" xml:space="preserve"> COLUMN() - COLUMN($BE:$BE)</f>
        <v>31</v>
      </c>
      <c r="CK8" s="327" cm="1">
        <f t="array" ref="CK8" xml:space="preserve"> COLUMN() - COLUMN($BE:$BE)</f>
        <v>32</v>
      </c>
      <c r="CL8" s="327" cm="1">
        <f t="array" ref="CL8" xml:space="preserve"> COLUMN() - COLUMN($BE:$BE)</f>
        <v>33</v>
      </c>
      <c r="CM8" s="327" cm="1">
        <f t="array" ref="CM8" xml:space="preserve"> COLUMN() - COLUMN($BE:$BE)</f>
        <v>34</v>
      </c>
      <c r="CN8" s="327" cm="1">
        <f t="array" ref="CN8" xml:space="preserve"> COLUMN() - COLUMN($BE:$BE)</f>
        <v>35</v>
      </c>
      <c r="CO8" s="327" cm="1">
        <f t="array" ref="CO8" xml:space="preserve"> COLUMN() - COLUMN($BE:$BE)</f>
        <v>36</v>
      </c>
      <c r="CP8" s="327" cm="1">
        <f t="array" ref="CP8" xml:space="preserve"> COLUMN() - COLUMN($BE:$BE)</f>
        <v>37</v>
      </c>
      <c r="CQ8" s="327" cm="1">
        <f t="array" ref="CQ8" xml:space="preserve"> COLUMN() - COLUMN($BE:$BE)</f>
        <v>38</v>
      </c>
      <c r="CR8" s="327" cm="1">
        <f t="array" ref="CR8" xml:space="preserve"> COLUMN() - COLUMN($BE:$BE)</f>
        <v>39</v>
      </c>
      <c r="CS8" s="327" cm="1">
        <f t="array" ref="CS8" xml:space="preserve"> COLUMN() - COLUMN($BE:$BE)</f>
        <v>40</v>
      </c>
      <c r="CT8" s="327" cm="1">
        <f t="array" ref="CT8" xml:space="preserve"> COLUMN() - COLUMN($BE:$BE)</f>
        <v>41</v>
      </c>
      <c r="CU8" s="327" cm="1">
        <f t="array" ref="CU8" xml:space="preserve"> COLUMN() - COLUMN($BE:$BE)</f>
        <v>42</v>
      </c>
      <c r="CV8" s="327" cm="1">
        <f t="array" ref="CV8" xml:space="preserve"> COLUMN() - COLUMN($BE:$BE)</f>
        <v>43</v>
      </c>
      <c r="CW8" s="327" cm="1">
        <f t="array" ref="CW8" xml:space="preserve"> COLUMN() - COLUMN($BE:$BE)</f>
        <v>44</v>
      </c>
      <c r="CX8" s="327" cm="1">
        <f t="array" ref="CX8" xml:space="preserve"> COLUMN() - COLUMN($BE:$BE)</f>
        <v>45</v>
      </c>
      <c r="CY8" s="327" cm="1">
        <f t="array" ref="CY8" xml:space="preserve"> COLUMN() - COLUMN($BE:$BE)</f>
        <v>46</v>
      </c>
      <c r="CZ8" s="327" cm="1">
        <f t="array" ref="CZ8" xml:space="preserve"> COLUMN() - COLUMN($BE:$BE)</f>
        <v>47</v>
      </c>
      <c r="DA8" s="327" cm="1">
        <f t="array" ref="DA8" xml:space="preserve"> COLUMN() - COLUMN($BE:$BE)</f>
        <v>48</v>
      </c>
      <c r="DB8" s="327" cm="1">
        <f t="array" ref="DB8" xml:space="preserve"> COLUMN() - COLUMN($BE:$BE)</f>
        <v>49</v>
      </c>
      <c r="DC8" s="327" cm="1">
        <f t="array" ref="DC8" xml:space="preserve"> COLUMN() - COLUMN($BE:$BE)</f>
        <v>50</v>
      </c>
      <c r="DD8" s="327" cm="1">
        <f t="array" ref="DD8" xml:space="preserve"> COLUMN() - COLUMN($BE:$BE)</f>
        <v>51</v>
      </c>
      <c r="DE8" s="327" cm="1">
        <f t="array" ref="DE8" xml:space="preserve"> COLUMN() - COLUMN($BE:$BE)</f>
        <v>52</v>
      </c>
    </row>
    <row r="9" spans="2:109" ht="32.25">
      <c r="H9" s="2">
        <f t="shared" si="9"/>
        <v>7</v>
      </c>
      <c r="I9" s="98" t="str">
        <f t="shared" si="0"/>
        <v>n</v>
      </c>
      <c r="J9" s="98" t="str">
        <f t="shared" si="1"/>
        <v>s</v>
      </c>
      <c r="L9" s="2">
        <v>7</v>
      </c>
      <c r="M9" s="21" t="str">
        <f t="shared" si="2"/>
        <v>s</v>
      </c>
      <c r="N9" s="21" t="str">
        <f t="shared" si="3"/>
        <v>ㄋ</v>
      </c>
      <c r="P9" s="2">
        <v>7</v>
      </c>
      <c r="Q9" s="22" t="str">
        <f t="shared" si="4"/>
        <v/>
      </c>
      <c r="R9" s="22" t="str">
        <f t="shared" si="5"/>
        <v/>
      </c>
      <c r="T9" s="2">
        <v>7</v>
      </c>
      <c r="U9" s="201" t="str">
        <f t="shared" si="6"/>
        <v>s</v>
      </c>
      <c r="V9" s="203" t="str">
        <f t="shared" si="7"/>
        <v>n</v>
      </c>
      <c r="W9" s="202" t="str" cm="1">
        <f t="array" ref="W9" xml:space="preserve"> INDEX(注音編碼對照表[台語ㄅㄆㄇ], MATCH(TRUE, EXACT(表格1_33411[[#This Row],[鍵盤按鍵]], 注音編碼對照表[鍵盤按鍵] ),0))</f>
        <v>ㄋ</v>
      </c>
      <c r="X9" s="204" t="str" cm="1">
        <f t="array" ref="X9" xml:space="preserve"> INDEX(注音編碼對照表!$G$3:$G$60, MATCH(TRUE, EXACT(表格1_33411[[#This Row],[注音編碼]], 注音編碼對照表!$E$3:$E$54), 0))</f>
        <v>n</v>
      </c>
      <c r="Y9" s="24"/>
      <c r="Z9" s="31">
        <f t="shared" si="10"/>
        <v>7</v>
      </c>
      <c r="AA9" s="71" t="str">
        <f>使用按鍵解析!J17</f>
        <v>s</v>
      </c>
      <c r="AB9" s="192" t="str" cm="1">
        <f t="array" ref="AB9" xml:space="preserve"> INDEX(注音編碼對照表[注音編碼], MATCH(TRUE, EXACT(RIME設定解析!$AA9, 注音編碼對照表[鍵盤按鍵] ),0))</f>
        <v>n</v>
      </c>
      <c r="AC9" s="32" t="str" cm="1">
        <f t="array" ref="AC9" xml:space="preserve"> INDEX(注音編碼對照表[方音符號], MATCH(TRUE, EXACT(RIME設定解析!$AA9, 注音編碼對照表[鍵盤按鍵] ),0))</f>
        <v>ㄋ</v>
      </c>
      <c r="AD9" s="397" t="str" cm="1">
        <f t="array" ref="AD9" xml:space="preserve"> INDEX(注音編碼對照表[台語ㄅㄆㄇ], MATCH(TRUE, EXACT(RIME設定解析!$AA9, 注音編碼對照表[鍵盤按鍵] ),0))</f>
        <v>ㄋ</v>
      </c>
      <c r="AE9" s="264" t="str" cm="1">
        <f t="array" ref="AE9" xml:space="preserve"> INDEX(注音編碼對照表[台語音標], MATCH(TRUE, EXACT(RIME設定解析!$AA9, 注音編碼對照表[鍵盤按鍵] ),0))</f>
        <v>n</v>
      </c>
      <c r="AF9" s="204"/>
      <c r="AG9" s="364" t="str">
        <f t="shared" si="11"/>
        <v>"s" : "ㄋ",</v>
      </c>
      <c r="AH9" s="204"/>
      <c r="AI9" s="365" t="str">
        <f t="shared" si="12"/>
        <v>"s" : { commit: "ㄋ" }</v>
      </c>
      <c r="AJ9" s="2"/>
      <c r="AK9" s="399" t="str">
        <f t="shared" si="8"/>
        <v/>
      </c>
      <c r="AL9" s="402"/>
      <c r="AM9" s="212" t="s">
        <v>367</v>
      </c>
      <c r="AN9" s="1">
        <f xml:space="preserve"> LEN(AO9)</f>
        <v>52</v>
      </c>
      <c r="AO9" s="318" t="str">
        <f xml:space="preserve"> _xlfn.CONCAT(AB$3:AB$54)</f>
        <v>pPbmtTnlzcsjZCSJkKgwhiuaOoeyxIUAQEYXRV@GDHMNWB¹²³⁵⁷⁰</v>
      </c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8" t="s">
        <v>25</v>
      </c>
      <c r="BC9" s="233" t="s">
        <v>185</v>
      </c>
      <c r="BD9" s="40">
        <f xml:space="preserve"> FIND(BC9, AO9)</f>
        <v>31</v>
      </c>
      <c r="BE9" s="221"/>
      <c r="BF9" s="328" t="str">
        <f xml:space="preserve"> MID($AO$9, BF$8, 1)</f>
        <v>p</v>
      </c>
      <c r="BG9" s="328" t="str">
        <f t="shared" ref="BG9:DE9" si="13" xml:space="preserve"> MID($AO$9, BG$8, 1)</f>
        <v>P</v>
      </c>
      <c r="BH9" s="328" t="str">
        <f t="shared" si="13"/>
        <v>b</v>
      </c>
      <c r="BI9" s="328" t="str">
        <f t="shared" si="13"/>
        <v>m</v>
      </c>
      <c r="BJ9" s="328" t="str">
        <f t="shared" si="13"/>
        <v>t</v>
      </c>
      <c r="BK9" s="328" t="str">
        <f t="shared" si="13"/>
        <v>T</v>
      </c>
      <c r="BL9" s="328" t="str">
        <f t="shared" si="13"/>
        <v>n</v>
      </c>
      <c r="BM9" s="328" t="str">
        <f t="shared" si="13"/>
        <v>l</v>
      </c>
      <c r="BN9" s="328" t="str">
        <f t="shared" si="13"/>
        <v>z</v>
      </c>
      <c r="BO9" s="328" t="str">
        <f t="shared" si="13"/>
        <v>c</v>
      </c>
      <c r="BP9" s="328" t="str">
        <f t="shared" si="13"/>
        <v>s</v>
      </c>
      <c r="BQ9" s="328" t="str">
        <f t="shared" si="13"/>
        <v>j</v>
      </c>
      <c r="BR9" s="328" t="str">
        <f t="shared" si="13"/>
        <v>Z</v>
      </c>
      <c r="BS9" s="328" t="str">
        <f t="shared" si="13"/>
        <v>C</v>
      </c>
      <c r="BT9" s="328" t="str">
        <f t="shared" si="13"/>
        <v>S</v>
      </c>
      <c r="BU9" s="328" t="str">
        <f t="shared" si="13"/>
        <v>J</v>
      </c>
      <c r="BV9" s="328" t="str">
        <f t="shared" si="13"/>
        <v>k</v>
      </c>
      <c r="BW9" s="328" t="str">
        <f t="shared" si="13"/>
        <v>K</v>
      </c>
      <c r="BX9" s="328" t="str">
        <f t="shared" si="13"/>
        <v>g</v>
      </c>
      <c r="BY9" s="328" t="str">
        <f t="shared" si="13"/>
        <v>w</v>
      </c>
      <c r="BZ9" s="328" t="str">
        <f t="shared" si="13"/>
        <v>h</v>
      </c>
      <c r="CA9" s="328" t="str">
        <f t="shared" si="13"/>
        <v>i</v>
      </c>
      <c r="CB9" s="328" t="str">
        <f t="shared" si="13"/>
        <v>u</v>
      </c>
      <c r="CC9" s="328" t="str">
        <f t="shared" si="13"/>
        <v>a</v>
      </c>
      <c r="CD9" s="328" t="str">
        <f t="shared" si="13"/>
        <v>O</v>
      </c>
      <c r="CE9" s="328" t="str">
        <f t="shared" si="13"/>
        <v>o</v>
      </c>
      <c r="CF9" s="328" t="str">
        <f t="shared" si="13"/>
        <v>e</v>
      </c>
      <c r="CG9" s="328" t="str">
        <f t="shared" si="13"/>
        <v>y</v>
      </c>
      <c r="CH9" s="328" t="str">
        <f t="shared" si="13"/>
        <v>x</v>
      </c>
      <c r="CI9" s="329" t="str">
        <f t="shared" si="13"/>
        <v>I</v>
      </c>
      <c r="CJ9" s="328" t="str">
        <f t="shared" si="13"/>
        <v>U</v>
      </c>
      <c r="CK9" s="328" t="str">
        <f t="shared" si="13"/>
        <v>A</v>
      </c>
      <c r="CL9" s="328" t="str">
        <f t="shared" si="13"/>
        <v>Q</v>
      </c>
      <c r="CM9" s="328" t="str">
        <f t="shared" si="13"/>
        <v>E</v>
      </c>
      <c r="CN9" s="328" t="str">
        <f t="shared" si="13"/>
        <v>Y</v>
      </c>
      <c r="CO9" s="328" t="str">
        <f t="shared" si="13"/>
        <v>X</v>
      </c>
      <c r="CP9" s="328" t="str">
        <f t="shared" si="13"/>
        <v>R</v>
      </c>
      <c r="CQ9" s="328" t="str">
        <f t="shared" si="13"/>
        <v>V</v>
      </c>
      <c r="CR9" s="328" t="str">
        <f t="shared" si="13"/>
        <v>@</v>
      </c>
      <c r="CS9" s="328" t="str">
        <f t="shared" si="13"/>
        <v>G</v>
      </c>
      <c r="CT9" s="329" t="str">
        <f t="shared" si="13"/>
        <v>D</v>
      </c>
      <c r="CU9" s="328" t="str">
        <f t="shared" si="13"/>
        <v>H</v>
      </c>
      <c r="CV9" s="328" t="str">
        <f t="shared" si="13"/>
        <v>M</v>
      </c>
      <c r="CW9" s="328" t="str">
        <f t="shared" si="13"/>
        <v>N</v>
      </c>
      <c r="CX9" s="328" t="str">
        <f t="shared" si="13"/>
        <v>W</v>
      </c>
      <c r="CY9" s="328" t="str">
        <f t="shared" si="13"/>
        <v>B</v>
      </c>
      <c r="CZ9" s="328" t="str">
        <f t="shared" si="13"/>
        <v>¹</v>
      </c>
      <c r="DA9" s="328" t="str">
        <f t="shared" si="13"/>
        <v>²</v>
      </c>
      <c r="DB9" s="328" t="str">
        <f t="shared" si="13"/>
        <v>³</v>
      </c>
      <c r="DC9" s="328" t="str">
        <f t="shared" si="13"/>
        <v>⁵</v>
      </c>
      <c r="DD9" s="328" t="str">
        <f t="shared" si="13"/>
        <v>⁷</v>
      </c>
      <c r="DE9" s="328" t="str">
        <f t="shared" si="13"/>
        <v>⁰</v>
      </c>
    </row>
    <row r="10" spans="2:109" ht="32.25">
      <c r="B10" s="1" t="s">
        <v>2</v>
      </c>
      <c r="H10" s="2">
        <f t="shared" si="9"/>
        <v>8</v>
      </c>
      <c r="I10" s="98" t="str">
        <f t="shared" si="0"/>
        <v>l</v>
      </c>
      <c r="J10" s="98" t="str">
        <f t="shared" si="1"/>
        <v>x</v>
      </c>
      <c r="L10" s="2">
        <v>8</v>
      </c>
      <c r="M10" s="21" t="str">
        <f t="shared" si="2"/>
        <v>x</v>
      </c>
      <c r="N10" s="21" t="str">
        <f t="shared" si="3"/>
        <v>ㄌ</v>
      </c>
      <c r="P10" s="2">
        <v>8</v>
      </c>
      <c r="Q10" s="22" t="str">
        <f t="shared" si="4"/>
        <v/>
      </c>
      <c r="R10" s="22" t="str">
        <f t="shared" si="5"/>
        <v/>
      </c>
      <c r="T10" s="2">
        <v>8</v>
      </c>
      <c r="U10" s="201" t="str">
        <f t="shared" si="6"/>
        <v>x</v>
      </c>
      <c r="V10" s="203" t="str">
        <f t="shared" si="7"/>
        <v>l</v>
      </c>
      <c r="W10" s="202" t="str" cm="1">
        <f t="array" ref="W10" xml:space="preserve"> INDEX(注音編碼對照表[台語ㄅㄆㄇ], MATCH(TRUE, EXACT(表格1_33411[[#This Row],[鍵盤按鍵]], 注音編碼對照表[鍵盤按鍵] ),0))</f>
        <v>ㄌ</v>
      </c>
      <c r="X10" s="204" t="str" cm="1">
        <f t="array" ref="X10" xml:space="preserve"> INDEX(注音編碼對照表!$G$3:$G$60, MATCH(TRUE, EXACT(表格1_33411[[#This Row],[注音編碼]], 注音編碼對照表!$E$3:$E$54), 0))</f>
        <v>l</v>
      </c>
      <c r="Y10" s="24"/>
      <c r="Z10" s="31">
        <f t="shared" si="10"/>
        <v>8</v>
      </c>
      <c r="AA10" s="71" t="str">
        <f>使用按鍵解析!J18</f>
        <v>x</v>
      </c>
      <c r="AB10" s="192" t="str" cm="1">
        <f t="array" ref="AB10" xml:space="preserve"> INDEX(注音編碼對照表[注音編碼], MATCH(TRUE, EXACT(RIME設定解析!$AA10, 注音編碼對照表[鍵盤按鍵] ),0))</f>
        <v>l</v>
      </c>
      <c r="AC10" s="32" t="str" cm="1">
        <f t="array" ref="AC10" xml:space="preserve"> INDEX(注音編碼對照表[方音符號], MATCH(TRUE, EXACT(RIME設定解析!$AA10, 注音編碼對照表[鍵盤按鍵] ),0))</f>
        <v>ㄌ</v>
      </c>
      <c r="AD10" s="397" t="str" cm="1">
        <f t="array" ref="AD10" xml:space="preserve"> INDEX(注音編碼對照表[台語ㄅㄆㄇ], MATCH(TRUE, EXACT(RIME設定解析!$AA10, 注音編碼對照表[鍵盤按鍵] ),0))</f>
        <v>ㄌ</v>
      </c>
      <c r="AE10" s="264" t="str" cm="1">
        <f t="array" ref="AE10" xml:space="preserve"> INDEX(注音編碼對照表[台語音標], MATCH(TRUE, EXACT(RIME設定解析!$AA10, 注音編碼對照表[鍵盤按鍵] ),0))</f>
        <v>l</v>
      </c>
      <c r="AF10" s="204"/>
      <c r="AG10" s="364" t="str">
        <f t="shared" si="11"/>
        <v>"x" : "ㄌ",</v>
      </c>
      <c r="AH10" s="204"/>
      <c r="AI10" s="365" t="str">
        <f t="shared" si="12"/>
        <v>"x" : { commit: "ㄌ" }</v>
      </c>
      <c r="AJ10" s="2"/>
      <c r="AK10" s="399" t="str">
        <f t="shared" si="8"/>
        <v/>
      </c>
      <c r="AL10" s="402"/>
      <c r="AM10" s="213" t="s">
        <v>11</v>
      </c>
      <c r="AN10" s="1">
        <f xml:space="preserve"> LEN(AO10)</f>
        <v>52</v>
      </c>
      <c r="AO10" s="318" t="str">
        <f>_xlfn.CONCAT(AA3:AA54)</f>
        <v>1q!a2wsxyhnbYHNBedEgcuj8ik,9lUJ*I&lt;(L-M0;Oomp/. 43657</v>
      </c>
      <c r="AP10" s="319"/>
      <c r="AQ10" s="319"/>
      <c r="AR10" s="319"/>
      <c r="AS10" s="319"/>
      <c r="AT10" s="319"/>
      <c r="AU10" s="319"/>
      <c r="AV10" s="319"/>
      <c r="AW10" s="319"/>
      <c r="AX10" s="320" t="str">
        <f xml:space="preserve"> MID("/", AN9, 1)</f>
        <v/>
      </c>
      <c r="AY10" s="319"/>
      <c r="AZ10" s="319"/>
      <c r="BA10" s="319"/>
      <c r="BC10" s="49" t="str">
        <f xml:space="preserve"> MID(AO10, BD9, 1)</f>
        <v>J</v>
      </c>
      <c r="BD10" s="40"/>
      <c r="BE10" s="221"/>
      <c r="BF10" s="328" t="str">
        <f xml:space="preserve"> MID($AO$10, BF$8, 1)</f>
        <v>1</v>
      </c>
      <c r="BG10" s="328" t="str">
        <f t="shared" ref="BG10:DE10" si="14" xml:space="preserve"> MID($AO$10, BG$8, 1)</f>
        <v>q</v>
      </c>
      <c r="BH10" s="328" t="str">
        <f t="shared" si="14"/>
        <v>!</v>
      </c>
      <c r="BI10" s="328" t="str">
        <f t="shared" si="14"/>
        <v>a</v>
      </c>
      <c r="BJ10" s="328" t="str">
        <f t="shared" si="14"/>
        <v>2</v>
      </c>
      <c r="BK10" s="328" t="str">
        <f t="shared" si="14"/>
        <v>w</v>
      </c>
      <c r="BL10" s="328" t="str">
        <f t="shared" si="14"/>
        <v>s</v>
      </c>
      <c r="BM10" s="328" t="str">
        <f t="shared" si="14"/>
        <v>x</v>
      </c>
      <c r="BN10" s="328" t="str">
        <f t="shared" si="14"/>
        <v>y</v>
      </c>
      <c r="BO10" s="328" t="str">
        <f t="shared" si="14"/>
        <v>h</v>
      </c>
      <c r="BP10" s="328" t="str">
        <f t="shared" si="14"/>
        <v>n</v>
      </c>
      <c r="BQ10" s="328" t="str">
        <f t="shared" si="14"/>
        <v>b</v>
      </c>
      <c r="BR10" s="328" t="str">
        <f t="shared" si="14"/>
        <v>Y</v>
      </c>
      <c r="BS10" s="328" t="str">
        <f t="shared" si="14"/>
        <v>H</v>
      </c>
      <c r="BT10" s="328" t="str">
        <f t="shared" si="14"/>
        <v>N</v>
      </c>
      <c r="BU10" s="328" t="str">
        <f t="shared" si="14"/>
        <v>B</v>
      </c>
      <c r="BV10" s="328" t="str">
        <f t="shared" si="14"/>
        <v>e</v>
      </c>
      <c r="BW10" s="328" t="str">
        <f t="shared" si="14"/>
        <v>d</v>
      </c>
      <c r="BX10" s="328" t="str">
        <f t="shared" si="14"/>
        <v>E</v>
      </c>
      <c r="BY10" s="328" t="str">
        <f t="shared" si="14"/>
        <v>g</v>
      </c>
      <c r="BZ10" s="328" t="str">
        <f t="shared" si="14"/>
        <v>c</v>
      </c>
      <c r="CA10" s="328" t="str">
        <f t="shared" si="14"/>
        <v>u</v>
      </c>
      <c r="CB10" s="328" t="str">
        <f t="shared" si="14"/>
        <v>j</v>
      </c>
      <c r="CC10" s="328" t="str">
        <f t="shared" si="14"/>
        <v>8</v>
      </c>
      <c r="CD10" s="328" t="str">
        <f t="shared" si="14"/>
        <v>i</v>
      </c>
      <c r="CE10" s="328" t="str">
        <f t="shared" si="14"/>
        <v>k</v>
      </c>
      <c r="CF10" s="328" t="str">
        <f t="shared" si="14"/>
        <v>,</v>
      </c>
      <c r="CG10" s="328" t="str">
        <f t="shared" si="14"/>
        <v>9</v>
      </c>
      <c r="CH10" s="328" t="str">
        <f t="shared" si="14"/>
        <v>l</v>
      </c>
      <c r="CI10" s="329" t="str">
        <f t="shared" si="14"/>
        <v>U</v>
      </c>
      <c r="CJ10" s="328" t="str">
        <f t="shared" si="14"/>
        <v>J</v>
      </c>
      <c r="CK10" s="328" t="str">
        <f t="shared" si="14"/>
        <v>*</v>
      </c>
      <c r="CL10" s="328" t="str">
        <f t="shared" si="14"/>
        <v>I</v>
      </c>
      <c r="CM10" s="328" t="str">
        <f t="shared" si="14"/>
        <v>&lt;</v>
      </c>
      <c r="CN10" s="328" t="str">
        <f t="shared" si="14"/>
        <v>(</v>
      </c>
      <c r="CO10" s="328" t="str">
        <f t="shared" si="14"/>
        <v>L</v>
      </c>
      <c r="CP10" s="328" t="str">
        <f t="shared" si="14"/>
        <v>-</v>
      </c>
      <c r="CQ10" s="328" t="str">
        <f t="shared" si="14"/>
        <v>M</v>
      </c>
      <c r="CR10" s="328" t="str">
        <f t="shared" si="14"/>
        <v>0</v>
      </c>
      <c r="CS10" s="328" t="str">
        <f t="shared" si="14"/>
        <v>;</v>
      </c>
      <c r="CT10" s="329" t="str">
        <f t="shared" si="14"/>
        <v>O</v>
      </c>
      <c r="CU10" s="328" t="str">
        <f t="shared" si="14"/>
        <v>o</v>
      </c>
      <c r="CV10" s="328" t="str">
        <f t="shared" si="14"/>
        <v>m</v>
      </c>
      <c r="CW10" s="328" t="str">
        <f t="shared" si="14"/>
        <v>p</v>
      </c>
      <c r="CX10" s="328" t="str">
        <f t="shared" si="14"/>
        <v>/</v>
      </c>
      <c r="CY10" s="328" t="str">
        <f t="shared" si="14"/>
        <v>.</v>
      </c>
      <c r="CZ10" s="328" t="str">
        <f t="shared" si="14"/>
        <v xml:space="preserve"> </v>
      </c>
      <c r="DA10" s="328" t="str">
        <f t="shared" si="14"/>
        <v>4</v>
      </c>
      <c r="DB10" s="328" t="str">
        <f t="shared" si="14"/>
        <v>3</v>
      </c>
      <c r="DC10" s="328" t="str">
        <f t="shared" si="14"/>
        <v>6</v>
      </c>
      <c r="DD10" s="328" t="str">
        <f t="shared" si="14"/>
        <v>5</v>
      </c>
      <c r="DE10" s="328" t="str">
        <f t="shared" si="14"/>
        <v>7</v>
      </c>
    </row>
    <row r="11" spans="2:109" ht="32.25">
      <c r="B11" s="200" t="s">
        <v>1482</v>
      </c>
      <c r="H11" s="2">
        <f t="shared" si="9"/>
        <v>9</v>
      </c>
      <c r="I11" s="98" t="str">
        <f t="shared" si="0"/>
        <v>z</v>
      </c>
      <c r="J11" s="98" t="str">
        <f t="shared" si="1"/>
        <v>y</v>
      </c>
      <c r="L11" s="2">
        <v>9</v>
      </c>
      <c r="M11" s="21" t="str">
        <f t="shared" si="2"/>
        <v>y</v>
      </c>
      <c r="N11" s="21" t="str">
        <f t="shared" si="3"/>
        <v>ㄗ</v>
      </c>
      <c r="P11" s="2">
        <v>9</v>
      </c>
      <c r="Q11" s="22" t="str">
        <f t="shared" si="4"/>
        <v/>
      </c>
      <c r="R11" s="22" t="str">
        <f t="shared" si="5"/>
        <v/>
      </c>
      <c r="T11" s="2">
        <v>9</v>
      </c>
      <c r="U11" s="201" t="str">
        <f t="shared" si="6"/>
        <v>y</v>
      </c>
      <c r="V11" s="203" t="str">
        <f t="shared" si="7"/>
        <v>z</v>
      </c>
      <c r="W11" s="202" t="str" cm="1">
        <f t="array" ref="W11" xml:space="preserve"> INDEX(注音編碼對照表[台語ㄅㄆㄇ], MATCH(TRUE, EXACT(表格1_33411[[#This Row],[鍵盤按鍵]], 注音編碼對照表[鍵盤按鍵] ),0))</f>
        <v>ㄗ</v>
      </c>
      <c r="X11" s="204" t="str" cm="1">
        <f t="array" ref="X11" xml:space="preserve"> INDEX(注音編碼對照表!$G$3:$G$60, MATCH(TRUE, EXACT(表格1_33411[[#This Row],[注音編碼]], 注音編碼對照表!$E$3:$E$54), 0))</f>
        <v>z</v>
      </c>
      <c r="Y11" s="24"/>
      <c r="Z11" s="31">
        <f t="shared" si="10"/>
        <v>9</v>
      </c>
      <c r="AA11" s="71" t="str">
        <f>使用按鍵解析!J19</f>
        <v>y</v>
      </c>
      <c r="AB11" s="192" t="str" cm="1">
        <f t="array" ref="AB11" xml:space="preserve"> INDEX(注音編碼對照表[注音編碼], MATCH(TRUE, EXACT(RIME設定解析!$AA11, 注音編碼對照表[鍵盤按鍵] ),0))</f>
        <v>z</v>
      </c>
      <c r="AC11" s="32" t="str" cm="1">
        <f t="array" ref="AC11" xml:space="preserve"> INDEX(注音編碼對照表[方音符號], MATCH(TRUE, EXACT(RIME設定解析!$AA11, 注音編碼對照表[鍵盤按鍵] ),0))</f>
        <v>ㄗ</v>
      </c>
      <c r="AD11" s="397" t="str" cm="1">
        <f t="array" ref="AD11" xml:space="preserve"> INDEX(注音編碼對照表[台語ㄅㄆㄇ], MATCH(TRUE, EXACT(RIME設定解析!$AA11, 注音編碼對照表[鍵盤按鍵] ),0))</f>
        <v>ㄗ</v>
      </c>
      <c r="AE11" s="264" t="str" cm="1">
        <f t="array" ref="AE11" xml:space="preserve"> INDEX(注音編碼對照表[台語音標], MATCH(TRUE, EXACT(RIME設定解析!$AA11, 注音編碼對照表[鍵盤按鍵] ),0))</f>
        <v>z</v>
      </c>
      <c r="AF11" s="204"/>
      <c r="AG11" s="364" t="str">
        <f t="shared" si="11"/>
        <v>"y" : "ㄗ",</v>
      </c>
      <c r="AH11" s="204"/>
      <c r="AI11" s="365" t="str">
        <f t="shared" si="12"/>
        <v>"y" : { commit: "ㄗ" }</v>
      </c>
      <c r="AJ11" s="2"/>
      <c r="AK11" s="399" t="str">
        <f t="shared" si="8"/>
        <v/>
      </c>
      <c r="AL11" s="402"/>
      <c r="AM11" s="214"/>
      <c r="AN11" s="37"/>
      <c r="AO11" s="37"/>
      <c r="AX11" s="48"/>
      <c r="BC11" s="11"/>
      <c r="BE11" s="221"/>
      <c r="BH11" s="2"/>
    </row>
    <row r="12" spans="2:109" ht="32.25">
      <c r="B12" s="2">
        <f xml:space="preserve"> SEARCH("|",$B$11,1)</f>
        <v>6</v>
      </c>
      <c r="H12" s="2">
        <f t="shared" si="9"/>
        <v>10</v>
      </c>
      <c r="I12" s="98" t="str">
        <f t="shared" si="0"/>
        <v>c</v>
      </c>
      <c r="J12" s="98" t="str">
        <f t="shared" si="1"/>
        <v>h</v>
      </c>
      <c r="L12" s="2">
        <v>10</v>
      </c>
      <c r="M12" s="21" t="str">
        <f t="shared" si="2"/>
        <v>h</v>
      </c>
      <c r="N12" s="21" t="str">
        <f t="shared" si="3"/>
        <v>ㄘ</v>
      </c>
      <c r="P12" s="2">
        <v>10</v>
      </c>
      <c r="Q12" s="22" t="str">
        <f t="shared" si="4"/>
        <v/>
      </c>
      <c r="R12" s="22" t="str">
        <f t="shared" si="5"/>
        <v/>
      </c>
      <c r="T12" s="2">
        <v>10</v>
      </c>
      <c r="U12" s="201" t="str">
        <f t="shared" si="6"/>
        <v>h</v>
      </c>
      <c r="V12" s="203" t="str">
        <f t="shared" si="7"/>
        <v>c</v>
      </c>
      <c r="W12" s="202" t="str" cm="1">
        <f t="array" ref="W12" xml:space="preserve"> INDEX(注音編碼對照表[台語ㄅㄆㄇ], MATCH(TRUE, EXACT(表格1_33411[[#This Row],[鍵盤按鍵]], 注音編碼對照表[鍵盤按鍵] ),0))</f>
        <v>ㄘ</v>
      </c>
      <c r="X12" s="204" t="str" cm="1">
        <f t="array" ref="X12" xml:space="preserve"> INDEX(注音編碼對照表!$G$3:$G$60, MATCH(TRUE, EXACT(表格1_33411[[#This Row],[注音編碼]], 注音編碼對照表!$E$3:$E$54), 0))</f>
        <v>c</v>
      </c>
      <c r="Y12" s="24"/>
      <c r="Z12" s="31">
        <f t="shared" si="10"/>
        <v>10</v>
      </c>
      <c r="AA12" s="71" t="str">
        <f>使用按鍵解析!J20</f>
        <v>h</v>
      </c>
      <c r="AB12" s="192" t="str" cm="1">
        <f t="array" ref="AB12" xml:space="preserve"> INDEX(注音編碼對照表[注音編碼], MATCH(TRUE, EXACT(RIME設定解析!$AA12, 注音編碼對照表[鍵盤按鍵] ),0))</f>
        <v>c</v>
      </c>
      <c r="AC12" s="32" t="str" cm="1">
        <f t="array" ref="AC12" xml:space="preserve"> INDEX(注音編碼對照表[方音符號], MATCH(TRUE, EXACT(RIME設定解析!$AA12, 注音編碼對照表[鍵盤按鍵] ),0))</f>
        <v>ㄘ</v>
      </c>
      <c r="AD12" s="397" t="str" cm="1">
        <f t="array" ref="AD12" xml:space="preserve"> INDEX(注音編碼對照表[台語ㄅㄆㄇ], MATCH(TRUE, EXACT(RIME設定解析!$AA12, 注音編碼對照表[鍵盤按鍵] ),0))</f>
        <v>ㄘ</v>
      </c>
      <c r="AE12" s="264" t="str" cm="1">
        <f t="array" ref="AE12" xml:space="preserve"> INDEX(注音編碼對照表[台語音標], MATCH(TRUE, EXACT(RIME設定解析!$AA12, 注音編碼對照表[鍵盤按鍵] ),0))</f>
        <v>c</v>
      </c>
      <c r="AF12" s="204"/>
      <c r="AG12" s="364" t="str">
        <f t="shared" si="11"/>
        <v>"h" : "ㄘ",</v>
      </c>
      <c r="AH12" s="204"/>
      <c r="AI12" s="365" t="str">
        <f t="shared" si="12"/>
        <v>"h" : { commit: "ㄘ" }</v>
      </c>
      <c r="AJ12" s="2"/>
      <c r="AK12" s="399" t="str">
        <f t="shared" si="8"/>
        <v/>
      </c>
      <c r="AL12" s="402"/>
      <c r="AM12" s="210"/>
      <c r="AN12" s="2"/>
      <c r="AO12" s="48"/>
      <c r="BC12" s="11"/>
      <c r="BE12" s="221"/>
      <c r="BF12" s="221" t="str">
        <f xml:space="preserve"> IF(BF10=BF14, "", "Err")</f>
        <v/>
      </c>
      <c r="BG12" s="221" t="str">
        <f t="shared" ref="BG12:DE12" si="15" xml:space="preserve"> IF(BG10=BG14, "", "Err")</f>
        <v/>
      </c>
      <c r="BH12" s="221" t="str">
        <f t="shared" si="15"/>
        <v/>
      </c>
      <c r="BI12" s="221" t="str">
        <f t="shared" si="15"/>
        <v/>
      </c>
      <c r="BJ12" s="221" t="str">
        <f t="shared" si="15"/>
        <v/>
      </c>
      <c r="BK12" s="221" t="str">
        <f t="shared" si="15"/>
        <v/>
      </c>
      <c r="BL12" s="221" t="str">
        <f t="shared" si="15"/>
        <v/>
      </c>
      <c r="BM12" s="221" t="str">
        <f t="shared" si="15"/>
        <v/>
      </c>
      <c r="BN12" s="221" t="str">
        <f t="shared" si="15"/>
        <v/>
      </c>
      <c r="BO12" s="221" t="str">
        <f t="shared" si="15"/>
        <v/>
      </c>
      <c r="BP12" s="221" t="str">
        <f t="shared" si="15"/>
        <v/>
      </c>
      <c r="BQ12" s="221" t="str">
        <f t="shared" si="15"/>
        <v/>
      </c>
      <c r="BR12" s="221" t="str">
        <f t="shared" si="15"/>
        <v/>
      </c>
      <c r="BS12" s="221" t="str">
        <f t="shared" si="15"/>
        <v/>
      </c>
      <c r="BT12" s="221" t="str">
        <f t="shared" si="15"/>
        <v/>
      </c>
      <c r="BU12" s="221" t="str">
        <f t="shared" si="15"/>
        <v/>
      </c>
      <c r="BV12" s="221" t="str">
        <f t="shared" si="15"/>
        <v/>
      </c>
      <c r="BW12" s="221" t="str">
        <f t="shared" si="15"/>
        <v/>
      </c>
      <c r="BX12" s="221" t="str">
        <f t="shared" si="15"/>
        <v/>
      </c>
      <c r="BY12" s="221" t="str">
        <f t="shared" si="15"/>
        <v/>
      </c>
      <c r="BZ12" s="221" t="str">
        <f t="shared" si="15"/>
        <v/>
      </c>
      <c r="CA12" s="221" t="str">
        <f t="shared" si="15"/>
        <v/>
      </c>
      <c r="CB12" s="221" t="str">
        <f t="shared" si="15"/>
        <v/>
      </c>
      <c r="CC12" s="221" t="str">
        <f t="shared" si="15"/>
        <v/>
      </c>
      <c r="CD12" s="221" t="str">
        <f t="shared" si="15"/>
        <v/>
      </c>
      <c r="CE12" s="221" t="str">
        <f t="shared" si="15"/>
        <v/>
      </c>
      <c r="CF12" s="221" t="str">
        <f t="shared" si="15"/>
        <v/>
      </c>
      <c r="CG12" s="221" t="str">
        <f t="shared" si="15"/>
        <v/>
      </c>
      <c r="CH12" s="221" t="str">
        <f t="shared" si="15"/>
        <v/>
      </c>
      <c r="CI12" s="221" t="str">
        <f t="shared" si="15"/>
        <v/>
      </c>
      <c r="CJ12" s="221" t="str">
        <f t="shared" si="15"/>
        <v/>
      </c>
      <c r="CK12" s="221" t="str">
        <f t="shared" si="15"/>
        <v/>
      </c>
      <c r="CL12" s="221" t="str">
        <f t="shared" si="15"/>
        <v/>
      </c>
      <c r="CM12" s="221" t="str">
        <f t="shared" si="15"/>
        <v/>
      </c>
      <c r="CN12" s="221" t="str">
        <f t="shared" si="15"/>
        <v/>
      </c>
      <c r="CO12" s="221" t="str">
        <f t="shared" si="15"/>
        <v/>
      </c>
      <c r="CP12" s="221" t="str">
        <f t="shared" si="15"/>
        <v/>
      </c>
      <c r="CQ12" s="221" t="str">
        <f t="shared" si="15"/>
        <v/>
      </c>
      <c r="CR12" s="221" t="str">
        <f t="shared" si="15"/>
        <v/>
      </c>
      <c r="CS12" s="221" t="str">
        <f t="shared" si="15"/>
        <v/>
      </c>
      <c r="CT12" s="221" t="str">
        <f t="shared" si="15"/>
        <v/>
      </c>
      <c r="CU12" s="221" t="str">
        <f t="shared" si="15"/>
        <v/>
      </c>
      <c r="CV12" s="221" t="str">
        <f t="shared" si="15"/>
        <v/>
      </c>
      <c r="CW12" s="221" t="str">
        <f t="shared" si="15"/>
        <v/>
      </c>
      <c r="CX12" s="221" t="str">
        <f t="shared" si="15"/>
        <v/>
      </c>
      <c r="CY12" s="221" t="str">
        <f t="shared" si="15"/>
        <v/>
      </c>
      <c r="CZ12" s="221" t="str">
        <f t="shared" si="15"/>
        <v>Err</v>
      </c>
      <c r="DA12" s="221" t="str">
        <f t="shared" si="15"/>
        <v>Err</v>
      </c>
      <c r="DB12" s="221" t="str">
        <f t="shared" si="15"/>
        <v>Err</v>
      </c>
      <c r="DC12" s="221" t="str">
        <f t="shared" si="15"/>
        <v>Err</v>
      </c>
      <c r="DD12" s="221" t="str">
        <f t="shared" si="15"/>
        <v>Err</v>
      </c>
      <c r="DE12" s="221" t="str">
        <f t="shared" si="15"/>
        <v>Err</v>
      </c>
    </row>
    <row r="13" spans="2:109" ht="32.25">
      <c r="B13" s="2">
        <f xml:space="preserve"> SEARCH("|",$B$11,B12+1)</f>
        <v>53</v>
      </c>
      <c r="H13" s="2">
        <f t="shared" si="9"/>
        <v>11</v>
      </c>
      <c r="I13" s="98" t="str">
        <f t="shared" si="0"/>
        <v>j</v>
      </c>
      <c r="J13" s="98" t="str">
        <f t="shared" si="1"/>
        <v>b</v>
      </c>
      <c r="L13" s="2">
        <v>11</v>
      </c>
      <c r="M13" s="21" t="str">
        <f t="shared" si="2"/>
        <v>n</v>
      </c>
      <c r="N13" s="21" t="str">
        <f t="shared" si="3"/>
        <v>ㄙ</v>
      </c>
      <c r="P13" s="2">
        <v>11</v>
      </c>
      <c r="Q13" s="22" t="str">
        <f t="shared" si="4"/>
        <v/>
      </c>
      <c r="R13" s="22" t="str">
        <f t="shared" si="5"/>
        <v/>
      </c>
      <c r="T13" s="2">
        <v>11</v>
      </c>
      <c r="U13" s="201" t="str">
        <f t="shared" si="6"/>
        <v>b</v>
      </c>
      <c r="V13" s="203" t="str">
        <f t="shared" si="7"/>
        <v>j</v>
      </c>
      <c r="W13" s="202" t="str" cm="1">
        <f t="array" ref="W13" xml:space="preserve"> INDEX(注音編碼對照表[台語ㄅㄆㄇ], MATCH(TRUE, EXACT(表格1_33411[[#This Row],[鍵盤按鍵]], 注音編碼對照表[鍵盤按鍵] ),0))</f>
        <v>ㆡ</v>
      </c>
      <c r="X13" s="204" t="str" cm="1">
        <f t="array" ref="X13" xml:space="preserve"> INDEX(注音編碼對照表!$G$3:$G$60, MATCH(TRUE, EXACT(表格1_33411[[#This Row],[注音編碼]], 注音編碼對照表!$E$3:$E$54), 0))</f>
        <v>j</v>
      </c>
      <c r="Y13" s="24"/>
      <c r="Z13" s="31">
        <f t="shared" si="10"/>
        <v>11</v>
      </c>
      <c r="AA13" s="71" t="str">
        <f>使用按鍵解析!J21</f>
        <v>n</v>
      </c>
      <c r="AB13" s="192" t="str" cm="1">
        <f t="array" ref="AB13" xml:space="preserve"> INDEX(注音編碼對照表[注音編碼], MATCH(TRUE, EXACT(RIME設定解析!$AA13, 注音編碼對照表[鍵盤按鍵] ),0))</f>
        <v>s</v>
      </c>
      <c r="AC13" s="32" t="str" cm="1">
        <f t="array" ref="AC13" xml:space="preserve"> INDEX(注音編碼對照表[方音符號], MATCH(TRUE, EXACT(RIME設定解析!$AA13, 注音編碼對照表[鍵盤按鍵] ),0))</f>
        <v>ㄙ</v>
      </c>
      <c r="AD13" s="397" t="str" cm="1">
        <f t="array" ref="AD13" xml:space="preserve"> INDEX(注音編碼對照表[台語ㄅㄆㄇ], MATCH(TRUE, EXACT(RIME設定解析!$AA13, 注音編碼對照表[鍵盤按鍵] ),0))</f>
        <v>ㄙ</v>
      </c>
      <c r="AE13" s="264" t="str" cm="1">
        <f t="array" ref="AE13" xml:space="preserve"> INDEX(注音編碼對照表[台語音標], MATCH(TRUE, EXACT(RIME設定解析!$AA13, 注音編碼對照表[鍵盤按鍵] ),0))</f>
        <v>s</v>
      </c>
      <c r="AF13" s="204"/>
      <c r="AG13" s="364" t="str">
        <f t="shared" si="11"/>
        <v>"n" : "ㄙ",</v>
      </c>
      <c r="AH13" s="204"/>
      <c r="AI13" s="365" t="str">
        <f t="shared" si="12"/>
        <v>"n" : { commit: "ㄙ" }</v>
      </c>
      <c r="AJ13" s="2"/>
      <c r="AK13" s="399" t="str">
        <f t="shared" si="8"/>
        <v/>
      </c>
      <c r="AL13" s="402"/>
      <c r="AM13" s="211" t="s">
        <v>35</v>
      </c>
      <c r="AN13" s="2"/>
      <c r="AO13" s="230" t="str">
        <f xml:space="preserve"> """xlit|" &amp; AO14 &amp; "|" &amp; AO15 &amp; "|"""</f>
        <v>"xlit|1q!a2wsxyhnbYHNBedEgcuj8ik,9lUJ*I&lt;(L-M0;Oomp/.|ㄅㄆㆠㄇㄉㄊㄋㄌㄗㄘㄙㆡㄐㄑㄒㆢㄍㄎㆣㄫㄏㄧㄨㄚㆦㄜㆤㄞㄠㆪㆫㆩㆧㆥㆮㆯㆨㆰㄢㄤㆱㆲㆬㄣㆭㄬ|"</v>
      </c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232"/>
      <c r="BE13" s="221"/>
      <c r="BF13" s="327" cm="1">
        <f t="array" ref="BF13" xml:space="preserve"> COLUMN() - COLUMN($BE:$BE)</f>
        <v>1</v>
      </c>
      <c r="BG13" s="327" cm="1">
        <f t="array" ref="BG13" xml:space="preserve"> COLUMN() - COLUMN($BE:$BE)</f>
        <v>2</v>
      </c>
      <c r="BH13" s="327" cm="1">
        <f t="array" ref="BH13" xml:space="preserve"> COLUMN() - COLUMN($BE:$BE)</f>
        <v>3</v>
      </c>
      <c r="BI13" s="327" cm="1">
        <f t="array" ref="BI13" xml:space="preserve"> COLUMN() - COLUMN($BE:$BE)</f>
        <v>4</v>
      </c>
      <c r="BJ13" s="327" cm="1">
        <f t="array" ref="BJ13" xml:space="preserve"> COLUMN() - COLUMN($BE:$BE)</f>
        <v>5</v>
      </c>
      <c r="BK13" s="327" cm="1">
        <f t="array" ref="BK13" xml:space="preserve"> COLUMN() - COLUMN($BE:$BE)</f>
        <v>6</v>
      </c>
      <c r="BL13" s="327" cm="1">
        <f t="array" ref="BL13" xml:space="preserve"> COLUMN() - COLUMN($BE:$BE)</f>
        <v>7</v>
      </c>
      <c r="BM13" s="327" cm="1">
        <f t="array" ref="BM13" xml:space="preserve"> COLUMN() - COLUMN($BE:$BE)</f>
        <v>8</v>
      </c>
      <c r="BN13" s="327" cm="1">
        <f t="array" ref="BN13" xml:space="preserve"> COLUMN() - COLUMN($BE:$BE)</f>
        <v>9</v>
      </c>
      <c r="BO13" s="327" cm="1">
        <f t="array" ref="BO13" xml:space="preserve"> COLUMN() - COLUMN($BE:$BE)</f>
        <v>10</v>
      </c>
      <c r="BP13" s="327" cm="1">
        <f t="array" ref="BP13" xml:space="preserve"> COLUMN() - COLUMN($BE:$BE)</f>
        <v>11</v>
      </c>
      <c r="BQ13" s="327" cm="1">
        <f t="array" ref="BQ13" xml:space="preserve"> COLUMN() - COLUMN($BE:$BE)</f>
        <v>12</v>
      </c>
      <c r="BR13" s="327" cm="1">
        <f t="array" ref="BR13" xml:space="preserve"> COLUMN() - COLUMN($BE:$BE)</f>
        <v>13</v>
      </c>
      <c r="BS13" s="327" cm="1">
        <f t="array" ref="BS13" xml:space="preserve"> COLUMN() - COLUMN($BE:$BE)</f>
        <v>14</v>
      </c>
      <c r="BT13" s="327" cm="1">
        <f t="array" ref="BT13" xml:space="preserve"> COLUMN() - COLUMN($BE:$BE)</f>
        <v>15</v>
      </c>
      <c r="BU13" s="327" cm="1">
        <f t="array" ref="BU13" xml:space="preserve"> COLUMN() - COLUMN($BE:$BE)</f>
        <v>16</v>
      </c>
      <c r="BV13" s="327" cm="1">
        <f t="array" ref="BV13" xml:space="preserve"> COLUMN() - COLUMN($BE:$BE)</f>
        <v>17</v>
      </c>
      <c r="BW13" s="327" cm="1">
        <f t="array" ref="BW13" xml:space="preserve"> COLUMN() - COLUMN($BE:$BE)</f>
        <v>18</v>
      </c>
      <c r="BX13" s="327" cm="1">
        <f t="array" ref="BX13" xml:space="preserve"> COLUMN() - COLUMN($BE:$BE)</f>
        <v>19</v>
      </c>
      <c r="BY13" s="327" cm="1">
        <f t="array" ref="BY13" xml:space="preserve"> COLUMN() - COLUMN($BE:$BE)</f>
        <v>20</v>
      </c>
      <c r="BZ13" s="327" cm="1">
        <f t="array" ref="BZ13" xml:space="preserve"> COLUMN() - COLUMN($BE:$BE)</f>
        <v>21</v>
      </c>
      <c r="CA13" s="327" cm="1">
        <f t="array" ref="CA13" xml:space="preserve"> COLUMN() - COLUMN($BE:$BE)</f>
        <v>22</v>
      </c>
      <c r="CB13" s="327" cm="1">
        <f t="array" ref="CB13" xml:space="preserve"> COLUMN() - COLUMN($BE:$BE)</f>
        <v>23</v>
      </c>
      <c r="CC13" s="327" cm="1">
        <f t="array" ref="CC13" xml:space="preserve"> COLUMN() - COLUMN($BE:$BE)</f>
        <v>24</v>
      </c>
      <c r="CD13" s="327" cm="1">
        <f t="array" ref="CD13" xml:space="preserve"> COLUMN() - COLUMN($BE:$BE)</f>
        <v>25</v>
      </c>
      <c r="CE13" s="327" cm="1">
        <f t="array" ref="CE13" xml:space="preserve"> COLUMN() - COLUMN($BE:$BE)</f>
        <v>26</v>
      </c>
      <c r="CF13" s="327" cm="1">
        <f t="array" ref="CF13" xml:space="preserve"> COLUMN() - COLUMN($BE:$BE)</f>
        <v>27</v>
      </c>
      <c r="CG13" s="327" cm="1">
        <f t="array" ref="CG13" xml:space="preserve"> COLUMN() - COLUMN($BE:$BE)</f>
        <v>28</v>
      </c>
      <c r="CH13" s="327" cm="1">
        <f t="array" ref="CH13" xml:space="preserve"> COLUMN() - COLUMN($BE:$BE)</f>
        <v>29</v>
      </c>
      <c r="CI13" s="327" cm="1">
        <f t="array" ref="CI13" xml:space="preserve"> COLUMN() - COLUMN($BE:$BE)</f>
        <v>30</v>
      </c>
      <c r="CJ13" s="327" cm="1">
        <f t="array" ref="CJ13" xml:space="preserve"> COLUMN() - COLUMN($BE:$BE)</f>
        <v>31</v>
      </c>
      <c r="CK13" s="327" cm="1">
        <f t="array" ref="CK13" xml:space="preserve"> COLUMN() - COLUMN($BE:$BE)</f>
        <v>32</v>
      </c>
      <c r="CL13" s="327" cm="1">
        <f t="array" ref="CL13" xml:space="preserve"> COLUMN() - COLUMN($BE:$BE)</f>
        <v>33</v>
      </c>
      <c r="CM13" s="327" cm="1">
        <f t="array" ref="CM13" xml:space="preserve"> COLUMN() - COLUMN($BE:$BE)</f>
        <v>34</v>
      </c>
      <c r="CN13" s="327" cm="1">
        <f t="array" ref="CN13" xml:space="preserve"> COLUMN() - COLUMN($BE:$BE)</f>
        <v>35</v>
      </c>
      <c r="CO13" s="327" cm="1">
        <f t="array" ref="CO13" xml:space="preserve"> COLUMN() - COLUMN($BE:$BE)</f>
        <v>36</v>
      </c>
      <c r="CP13" s="327" cm="1">
        <f t="array" ref="CP13" xml:space="preserve"> COLUMN() - COLUMN($BE:$BE)</f>
        <v>37</v>
      </c>
      <c r="CQ13" s="327" cm="1">
        <f t="array" ref="CQ13" xml:space="preserve"> COLUMN() - COLUMN($BE:$BE)</f>
        <v>38</v>
      </c>
      <c r="CR13" s="327" cm="1">
        <f t="array" ref="CR13" xml:space="preserve"> COLUMN() - COLUMN($BE:$BE)</f>
        <v>39</v>
      </c>
      <c r="CS13" s="327" cm="1">
        <f t="array" ref="CS13" xml:space="preserve"> COLUMN() - COLUMN($BE:$BE)</f>
        <v>40</v>
      </c>
      <c r="CT13" s="327" cm="1">
        <f t="array" ref="CT13" xml:space="preserve"> COLUMN() - COLUMN($BE:$BE)</f>
        <v>41</v>
      </c>
      <c r="CU13" s="327" cm="1">
        <f t="array" ref="CU13" xml:space="preserve"> COLUMN() - COLUMN($BE:$BE)</f>
        <v>42</v>
      </c>
      <c r="CV13" s="327" cm="1">
        <f t="array" ref="CV13" xml:space="preserve"> COLUMN() - COLUMN($BE:$BE)</f>
        <v>43</v>
      </c>
      <c r="CW13" s="327" cm="1">
        <f t="array" ref="CW13" xml:space="preserve"> COLUMN() - COLUMN($BE:$BE)</f>
        <v>44</v>
      </c>
      <c r="CX13" s="327" cm="1">
        <f t="array" ref="CX13" xml:space="preserve"> COLUMN() - COLUMN($BE:$BE)</f>
        <v>45</v>
      </c>
      <c r="CY13" s="327" cm="1">
        <f t="array" ref="CY13" xml:space="preserve"> COLUMN() - COLUMN($BE:$BE)</f>
        <v>46</v>
      </c>
      <c r="CZ13" s="327" cm="1">
        <f t="array" ref="CZ13" xml:space="preserve"> COLUMN() - COLUMN($BE:$BE)</f>
        <v>47</v>
      </c>
      <c r="DA13" s="327" cm="1">
        <f t="array" ref="DA13" xml:space="preserve"> COLUMN() - COLUMN($BE:$BE)</f>
        <v>48</v>
      </c>
      <c r="DB13" s="327" cm="1">
        <f t="array" ref="DB13" xml:space="preserve"> COLUMN() - COLUMN($BE:$BE)</f>
        <v>49</v>
      </c>
      <c r="DC13" s="327" cm="1">
        <f t="array" ref="DC13" xml:space="preserve"> COLUMN() - COLUMN($BE:$BE)</f>
        <v>50</v>
      </c>
      <c r="DD13" s="327" cm="1">
        <f t="array" ref="DD13" xml:space="preserve"> COLUMN() - COLUMN($BE:$BE)</f>
        <v>51</v>
      </c>
      <c r="DE13" s="327" cm="1">
        <f t="array" ref="DE13" xml:space="preserve"> COLUMN() - COLUMN($BE:$BE)</f>
        <v>52</v>
      </c>
    </row>
    <row r="14" spans="2:109" ht="32.25">
      <c r="B14" s="2">
        <f xml:space="preserve"> SEARCH("|",$B$11,B13+1)</f>
        <v>100</v>
      </c>
      <c r="H14" s="2">
        <f t="shared" si="9"/>
        <v>12</v>
      </c>
      <c r="I14" s="98" t="str">
        <f t="shared" si="0"/>
        <v>s</v>
      </c>
      <c r="J14" s="98" t="str">
        <f t="shared" si="1"/>
        <v>n</v>
      </c>
      <c r="L14" s="2">
        <v>12</v>
      </c>
      <c r="M14" s="21" t="str">
        <f t="shared" si="2"/>
        <v>b</v>
      </c>
      <c r="N14" s="21" t="str">
        <f t="shared" si="3"/>
        <v>ㆡ</v>
      </c>
      <c r="P14" s="2">
        <v>12</v>
      </c>
      <c r="Q14" s="22" t="str">
        <f t="shared" si="4"/>
        <v/>
      </c>
      <c r="R14" s="22" t="str">
        <f t="shared" si="5"/>
        <v/>
      </c>
      <c r="T14" s="2">
        <v>12</v>
      </c>
      <c r="U14" s="201" t="str">
        <f t="shared" si="6"/>
        <v>n</v>
      </c>
      <c r="V14" s="203" t="str">
        <f t="shared" si="7"/>
        <v>s</v>
      </c>
      <c r="W14" s="202" t="str" cm="1">
        <f t="array" ref="W14" xml:space="preserve"> INDEX(注音編碼對照表[台語ㄅㄆㄇ], MATCH(TRUE, EXACT(表格1_33411[[#This Row],[鍵盤按鍵]], 注音編碼對照表[鍵盤按鍵] ),0))</f>
        <v>ㄙ</v>
      </c>
      <c r="X14" s="204" t="str" cm="1">
        <f t="array" ref="X14" xml:space="preserve"> INDEX(注音編碼對照表!$G$3:$G$60, MATCH(TRUE, EXACT(表格1_33411[[#This Row],[注音編碼]], 注音編碼對照表!$E$3:$E$54), 0))</f>
        <v>s</v>
      </c>
      <c r="Y14" s="24"/>
      <c r="Z14" s="31">
        <f t="shared" si="10"/>
        <v>12</v>
      </c>
      <c r="AA14" s="71" t="str">
        <f>使用按鍵解析!J22</f>
        <v>b</v>
      </c>
      <c r="AB14" s="192" t="str" cm="1">
        <f t="array" ref="AB14" xml:space="preserve"> INDEX(注音編碼對照表[注音編碼], MATCH(TRUE, EXACT(RIME設定解析!$AA14, 注音編碼對照表[鍵盤按鍵] ),0))</f>
        <v>j</v>
      </c>
      <c r="AC14" s="32" t="str" cm="1">
        <f t="array" ref="AC14" xml:space="preserve"> INDEX(注音編碼對照表[方音符號], MATCH(TRUE, EXACT(RIME設定解析!$AA14, 注音編碼對照表[鍵盤按鍵] ),0))</f>
        <v>ㆡ</v>
      </c>
      <c r="AD14" s="397" t="str" cm="1">
        <f t="array" ref="AD14" xml:space="preserve"> INDEX(注音編碼對照表[台語ㄅㄆㄇ], MATCH(TRUE, EXACT(RIME設定解析!$AA14, 注音編碼對照表[鍵盤按鍵] ),0))</f>
        <v>ㆡ</v>
      </c>
      <c r="AE14" s="264" t="str" cm="1">
        <f t="array" ref="AE14" xml:space="preserve"> INDEX(注音編碼對照表[台語音標], MATCH(TRUE, EXACT(RIME設定解析!$AA14, 注音編碼對照表[鍵盤按鍵] ),0))</f>
        <v>j</v>
      </c>
      <c r="AF14" s="204"/>
      <c r="AG14" s="364" t="str">
        <f t="shared" si="11"/>
        <v>"b" : "ㆡ",</v>
      </c>
      <c r="AH14" s="204"/>
      <c r="AI14" s="365" t="str">
        <f t="shared" si="12"/>
        <v>"b" : { commit: "ㆡ" }</v>
      </c>
      <c r="AJ14" s="2"/>
      <c r="AK14" s="399" t="str">
        <f t="shared" si="8"/>
        <v/>
      </c>
      <c r="AL14" s="402"/>
      <c r="AM14" s="213" t="s">
        <v>11</v>
      </c>
      <c r="AN14" s="1">
        <f xml:space="preserve"> LEN(AO14)</f>
        <v>46</v>
      </c>
      <c r="AO14" s="318" t="str">
        <f xml:space="preserve"> _xlfn.CONCAT($AA3:$AA$48)</f>
        <v>1q!a2wsxyhnbYHNBedEgcuj8ik,9lUJ*I&lt;(L-M0;Oomp/.</v>
      </c>
      <c r="BB14" s="38" t="s">
        <v>25</v>
      </c>
      <c r="BC14" s="234" t="str">
        <f>BC10</f>
        <v>J</v>
      </c>
      <c r="BD14" s="40">
        <f xml:space="preserve"> FIND(BC14, AO14)</f>
        <v>31</v>
      </c>
      <c r="BE14" s="221"/>
      <c r="BF14" s="323" t="str">
        <f t="shared" ref="BF14:CJ14" si="16" xml:space="preserve"> MID($AO$14, BF$13, 1)</f>
        <v>1</v>
      </c>
      <c r="BG14" s="322" t="str">
        <f t="shared" si="16"/>
        <v>q</v>
      </c>
      <c r="BH14" s="323" t="str">
        <f t="shared" si="16"/>
        <v>!</v>
      </c>
      <c r="BI14" s="323" t="str">
        <f t="shared" si="16"/>
        <v>a</v>
      </c>
      <c r="BJ14" s="323" t="str">
        <f t="shared" si="16"/>
        <v>2</v>
      </c>
      <c r="BK14" s="323" t="str">
        <f t="shared" si="16"/>
        <v>w</v>
      </c>
      <c r="BL14" s="323" t="str">
        <f t="shared" si="16"/>
        <v>s</v>
      </c>
      <c r="BM14" s="323" t="str">
        <f t="shared" si="16"/>
        <v>x</v>
      </c>
      <c r="BN14" s="323" t="str">
        <f t="shared" si="16"/>
        <v>y</v>
      </c>
      <c r="BO14" s="323" t="str">
        <f t="shared" si="16"/>
        <v>h</v>
      </c>
      <c r="BP14" s="323" t="str">
        <f t="shared" si="16"/>
        <v>n</v>
      </c>
      <c r="BQ14" s="323" t="str">
        <f t="shared" si="16"/>
        <v>b</v>
      </c>
      <c r="BR14" s="323" t="str">
        <f t="shared" si="16"/>
        <v>Y</v>
      </c>
      <c r="BS14" s="323" t="str">
        <f t="shared" si="16"/>
        <v>H</v>
      </c>
      <c r="BT14" s="323" t="str">
        <f t="shared" si="16"/>
        <v>N</v>
      </c>
      <c r="BU14" s="323" t="str">
        <f t="shared" si="16"/>
        <v>B</v>
      </c>
      <c r="BV14" s="323" t="str">
        <f t="shared" si="16"/>
        <v>e</v>
      </c>
      <c r="BW14" s="323" t="str">
        <f t="shared" si="16"/>
        <v>d</v>
      </c>
      <c r="BX14" s="323" t="str">
        <f t="shared" si="16"/>
        <v>E</v>
      </c>
      <c r="BY14" s="323" t="str">
        <f t="shared" si="16"/>
        <v>g</v>
      </c>
      <c r="BZ14" s="323" t="str">
        <f t="shared" si="16"/>
        <v>c</v>
      </c>
      <c r="CA14" s="323" t="str">
        <f t="shared" si="16"/>
        <v>u</v>
      </c>
      <c r="CB14" s="323" t="str">
        <f t="shared" si="16"/>
        <v>j</v>
      </c>
      <c r="CC14" s="323" t="str">
        <f t="shared" si="16"/>
        <v>8</v>
      </c>
      <c r="CD14" s="323" t="str">
        <f t="shared" si="16"/>
        <v>i</v>
      </c>
      <c r="CE14" s="323" t="str">
        <f t="shared" si="16"/>
        <v>k</v>
      </c>
      <c r="CF14" s="323" t="str">
        <f t="shared" si="16"/>
        <v>,</v>
      </c>
      <c r="CG14" s="323" t="str">
        <f t="shared" si="16"/>
        <v>9</v>
      </c>
      <c r="CH14" s="326" t="str">
        <f t="shared" si="16"/>
        <v>l</v>
      </c>
      <c r="CI14" s="325" t="str">
        <f t="shared" si="16"/>
        <v>U</v>
      </c>
      <c r="CJ14" s="323" t="str">
        <f t="shared" si="16"/>
        <v>J</v>
      </c>
      <c r="CK14" s="323" t="str">
        <f t="shared" ref="CK14:DE14" si="17" xml:space="preserve"> MID($AO$14, CK$13, 1)</f>
        <v>*</v>
      </c>
      <c r="CL14" s="323" t="str">
        <f t="shared" si="17"/>
        <v>I</v>
      </c>
      <c r="CM14" s="323" t="str">
        <f t="shared" si="17"/>
        <v>&lt;</v>
      </c>
      <c r="CN14" s="323" t="str">
        <f t="shared" si="17"/>
        <v>(</v>
      </c>
      <c r="CO14" s="323" t="str">
        <f t="shared" si="17"/>
        <v>L</v>
      </c>
      <c r="CP14" s="323" t="str">
        <f t="shared" si="17"/>
        <v>-</v>
      </c>
      <c r="CQ14" s="323" t="str">
        <f t="shared" si="17"/>
        <v>M</v>
      </c>
      <c r="CR14" s="323" t="str">
        <f t="shared" si="17"/>
        <v>0</v>
      </c>
      <c r="CS14" s="324" t="str">
        <f t="shared" si="17"/>
        <v>;</v>
      </c>
      <c r="CT14" s="324" t="str">
        <f t="shared" si="17"/>
        <v>O</v>
      </c>
      <c r="CU14" s="324" t="str">
        <f t="shared" si="17"/>
        <v>o</v>
      </c>
      <c r="CV14" s="324" t="str">
        <f t="shared" si="17"/>
        <v>m</v>
      </c>
      <c r="CW14" s="324" t="str">
        <f t="shared" si="17"/>
        <v>p</v>
      </c>
      <c r="CX14" s="324" t="str">
        <f t="shared" si="17"/>
        <v>/</v>
      </c>
      <c r="CY14" s="323" t="str">
        <f t="shared" si="17"/>
        <v>.</v>
      </c>
      <c r="CZ14" s="323" t="str">
        <f t="shared" si="17"/>
        <v/>
      </c>
      <c r="DA14" s="323" t="str">
        <f t="shared" si="17"/>
        <v/>
      </c>
      <c r="DB14" s="323" t="str">
        <f t="shared" si="17"/>
        <v/>
      </c>
      <c r="DC14" s="323" t="str">
        <f t="shared" si="17"/>
        <v/>
      </c>
      <c r="DD14" s="323" t="str">
        <f t="shared" si="17"/>
        <v/>
      </c>
      <c r="DE14" s="323" t="str">
        <f t="shared" si="17"/>
        <v/>
      </c>
    </row>
    <row r="15" spans="2:109" ht="32.25">
      <c r="B15" s="50" t="str">
        <f xml:space="preserve"> MID($B$11,B12+1, B13-B12-1)</f>
        <v>1q!a2wsxyhnbYHNBedEgcuj8ik,9lUJ*I&lt;(L-M0;Oomp/.</v>
      </c>
      <c r="C15" s="51">
        <f xml:space="preserve"> LEN(B15)</f>
        <v>46</v>
      </c>
      <c r="H15" s="2">
        <f t="shared" si="9"/>
        <v>13</v>
      </c>
      <c r="I15" s="98" t="str">
        <f t="shared" si="0"/>
        <v>k</v>
      </c>
      <c r="J15" s="205" t="str">
        <f t="shared" si="1"/>
        <v>e</v>
      </c>
      <c r="L15" s="2">
        <v>13</v>
      </c>
      <c r="M15" s="206" t="str">
        <f t="shared" si="2"/>
        <v>Y</v>
      </c>
      <c r="N15" s="21" t="str">
        <f t="shared" si="3"/>
        <v>ㄐ</v>
      </c>
      <c r="P15" s="2">
        <v>13</v>
      </c>
      <c r="Q15" s="22" t="str">
        <f t="shared" si="4"/>
        <v/>
      </c>
      <c r="R15" s="22" t="str">
        <f t="shared" si="5"/>
        <v/>
      </c>
      <c r="T15" s="2">
        <v>13</v>
      </c>
      <c r="U15" s="201" t="str">
        <f t="shared" si="6"/>
        <v>e</v>
      </c>
      <c r="V15" s="203" t="str">
        <f t="shared" si="7"/>
        <v>k</v>
      </c>
      <c r="W15" s="202" t="str" cm="1">
        <f t="array" ref="W15" xml:space="preserve"> INDEX(注音編碼對照表[台語ㄅㄆㄇ], MATCH(TRUE, EXACT(表格1_33411[[#This Row],[鍵盤按鍵]], 注音編碼對照表[鍵盤按鍵] ),0))</f>
        <v>ㄍ</v>
      </c>
      <c r="X15" s="204" t="str" cm="1">
        <f t="array" ref="X15" xml:space="preserve"> INDEX(注音編碼對照表!$G$3:$G$60, MATCH(TRUE, EXACT(表格1_33411[[#This Row],[注音編碼]], 注音編碼對照表!$E$3:$E$54), 0))</f>
        <v>k</v>
      </c>
      <c r="Y15" s="24"/>
      <c r="Z15" s="31">
        <f t="shared" si="10"/>
        <v>13</v>
      </c>
      <c r="AA15" s="71" t="str">
        <f>使用按鍵解析!J23</f>
        <v>Y</v>
      </c>
      <c r="AB15" s="192" t="str" cm="1">
        <f t="array" ref="AB15" xml:space="preserve"> INDEX(注音編碼對照表[注音編碼], MATCH(TRUE, EXACT(RIME設定解析!$AA15, 注音編碼對照表[鍵盤按鍵] ),0))</f>
        <v>Z</v>
      </c>
      <c r="AC15" s="32" t="str" cm="1">
        <f t="array" ref="AC15" xml:space="preserve"> INDEX(注音編碼對照表[方音符號], MATCH(TRUE, EXACT(RIME設定解析!$AA15, 注音編碼對照表[鍵盤按鍵] ),0))</f>
        <v>ㄐ</v>
      </c>
      <c r="AD15" s="397" t="str" cm="1">
        <f t="array" ref="AD15" xml:space="preserve"> INDEX(注音編碼對照表[台語ㄅㄆㄇ], MATCH(TRUE, EXACT(RIME設定解析!$AA15, 注音編碼對照表[鍵盤按鍵] ),0))</f>
        <v>ㄐ</v>
      </c>
      <c r="AE15" s="264" t="str" cm="1">
        <f t="array" ref="AE15" xml:space="preserve"> INDEX(注音編碼對照表[台語音標], MATCH(TRUE, EXACT(RIME設定解析!$AA15, 注音編碼對照表[鍵盤按鍵] ),0))</f>
        <v>zi-</v>
      </c>
      <c r="AF15" s="204"/>
      <c r="AG15" s="364" t="str">
        <f t="shared" si="11"/>
        <v>"Y" : "ㄐ",</v>
      </c>
      <c r="AH15" s="204"/>
      <c r="AI15" s="365" t="str">
        <f t="shared" si="12"/>
        <v>"Y" : { commit: "ㄐ" }</v>
      </c>
      <c r="AJ15" s="2"/>
      <c r="AK15" s="399" t="str">
        <f t="shared" si="8"/>
        <v/>
      </c>
      <c r="AL15" s="402"/>
      <c r="AM15" s="215" t="s">
        <v>13</v>
      </c>
      <c r="AN15" s="1">
        <f xml:space="preserve"> LEN(AO15)</f>
        <v>46</v>
      </c>
      <c r="AO15" s="321" t="str">
        <f xml:space="preserve"> _xlfn.CONCAT($AC3:$AC$48)</f>
        <v>ㄅㄆㆠㄇㄉㄊㄋㄌㄗㄘㄙㆡㄐㄑㄒㆢㄍㄎㆣㄫㄏㄧㄨㄚㆦㄜㆤㄞㄠㆪㆫㆩㆧㆥㆮㆯㆨㆰㄢㄤㆱㆲㆬㄣㆭㄬ</v>
      </c>
      <c r="BC15" s="49" t="str">
        <f xml:space="preserve"> MID(AO15, BD14, 1)</f>
        <v>ㆫ</v>
      </c>
      <c r="BD15" s="40"/>
      <c r="BE15" s="221"/>
      <c r="BF15" s="323" t="str">
        <f t="shared" ref="BF15:CJ15" si="18" xml:space="preserve"> MID($AO$15, BF$13, 1)</f>
        <v>ㄅ</v>
      </c>
      <c r="BG15" s="323" t="str">
        <f t="shared" si="18"/>
        <v>ㄆ</v>
      </c>
      <c r="BH15" s="323" t="str">
        <f t="shared" si="18"/>
        <v>ㆠ</v>
      </c>
      <c r="BI15" s="323" t="str">
        <f t="shared" si="18"/>
        <v>ㄇ</v>
      </c>
      <c r="BJ15" s="323" t="str">
        <f t="shared" si="18"/>
        <v>ㄉ</v>
      </c>
      <c r="BK15" s="323" t="str">
        <f t="shared" si="18"/>
        <v>ㄊ</v>
      </c>
      <c r="BL15" s="323" t="str">
        <f t="shared" si="18"/>
        <v>ㄋ</v>
      </c>
      <c r="BM15" s="323" t="str">
        <f t="shared" si="18"/>
        <v>ㄌ</v>
      </c>
      <c r="BN15" s="323" t="str">
        <f t="shared" si="18"/>
        <v>ㄗ</v>
      </c>
      <c r="BO15" s="323" t="str">
        <f t="shared" si="18"/>
        <v>ㄘ</v>
      </c>
      <c r="BP15" s="323" t="str">
        <f t="shared" si="18"/>
        <v>ㄙ</v>
      </c>
      <c r="BQ15" s="323" t="str">
        <f t="shared" si="18"/>
        <v>ㆡ</v>
      </c>
      <c r="BR15" s="323" t="str">
        <f t="shared" si="18"/>
        <v>ㄐ</v>
      </c>
      <c r="BS15" s="323" t="str">
        <f t="shared" si="18"/>
        <v>ㄑ</v>
      </c>
      <c r="BT15" s="323" t="str">
        <f t="shared" si="18"/>
        <v>ㄒ</v>
      </c>
      <c r="BU15" s="323" t="str">
        <f t="shared" si="18"/>
        <v>ㆢ</v>
      </c>
      <c r="BV15" s="323" t="str">
        <f t="shared" si="18"/>
        <v>ㄍ</v>
      </c>
      <c r="BW15" s="323" t="str">
        <f t="shared" si="18"/>
        <v>ㄎ</v>
      </c>
      <c r="BX15" s="323" t="str">
        <f t="shared" si="18"/>
        <v>ㆣ</v>
      </c>
      <c r="BY15" s="323" t="str">
        <f t="shared" si="18"/>
        <v>ㄫ</v>
      </c>
      <c r="BZ15" s="323" t="str">
        <f t="shared" si="18"/>
        <v>ㄏ</v>
      </c>
      <c r="CA15" s="323" t="str">
        <f t="shared" si="18"/>
        <v>ㄧ</v>
      </c>
      <c r="CB15" s="323" t="str">
        <f t="shared" si="18"/>
        <v>ㄨ</v>
      </c>
      <c r="CC15" s="323" t="str">
        <f t="shared" si="18"/>
        <v>ㄚ</v>
      </c>
      <c r="CD15" s="323" t="str">
        <f t="shared" si="18"/>
        <v>ㆦ</v>
      </c>
      <c r="CE15" s="323" t="str">
        <f t="shared" si="18"/>
        <v>ㄜ</v>
      </c>
      <c r="CF15" s="323" t="str">
        <f t="shared" si="18"/>
        <v>ㆤ</v>
      </c>
      <c r="CG15" s="323" t="str">
        <f t="shared" si="18"/>
        <v>ㄞ</v>
      </c>
      <c r="CH15" s="326" t="str">
        <f t="shared" si="18"/>
        <v>ㄠ</v>
      </c>
      <c r="CI15" s="325" t="str">
        <f t="shared" si="18"/>
        <v>ㆪ</v>
      </c>
      <c r="CJ15" s="323" t="str">
        <f t="shared" si="18"/>
        <v>ㆫ</v>
      </c>
      <c r="CK15" s="323" t="str">
        <f t="shared" ref="CK15:DE15" si="19" xml:space="preserve"> MID($AO$15, CK$13, 1)</f>
        <v>ㆩ</v>
      </c>
      <c r="CL15" s="323" t="str">
        <f t="shared" si="19"/>
        <v>ㆧ</v>
      </c>
      <c r="CM15" s="323" t="str">
        <f t="shared" si="19"/>
        <v>ㆥ</v>
      </c>
      <c r="CN15" s="323" t="str">
        <f t="shared" si="19"/>
        <v>ㆮ</v>
      </c>
      <c r="CO15" s="323" t="str">
        <f t="shared" si="19"/>
        <v>ㆯ</v>
      </c>
      <c r="CP15" s="323" t="str">
        <f t="shared" si="19"/>
        <v>ㆨ</v>
      </c>
      <c r="CQ15" s="323" t="str">
        <f t="shared" si="19"/>
        <v>ㆰ</v>
      </c>
      <c r="CR15" s="323" t="str">
        <f t="shared" si="19"/>
        <v>ㄢ</v>
      </c>
      <c r="CS15" s="324" t="str">
        <f t="shared" si="19"/>
        <v>ㄤ</v>
      </c>
      <c r="CT15" s="324" t="str">
        <f t="shared" si="19"/>
        <v>ㆱ</v>
      </c>
      <c r="CU15" s="324" t="str">
        <f t="shared" si="19"/>
        <v>ㆲ</v>
      </c>
      <c r="CV15" s="324" t="str">
        <f t="shared" si="19"/>
        <v>ㆬ</v>
      </c>
      <c r="CW15" s="324" t="str">
        <f t="shared" si="19"/>
        <v>ㄣ</v>
      </c>
      <c r="CX15" s="324" t="str">
        <f t="shared" si="19"/>
        <v>ㆭ</v>
      </c>
      <c r="CY15" s="323" t="str">
        <f t="shared" si="19"/>
        <v>ㄬ</v>
      </c>
      <c r="CZ15" s="323" t="str">
        <f t="shared" si="19"/>
        <v/>
      </c>
      <c r="DA15" s="323" t="str">
        <f t="shared" si="19"/>
        <v/>
      </c>
      <c r="DB15" s="323" t="str">
        <f t="shared" si="19"/>
        <v/>
      </c>
      <c r="DC15" s="323" t="str">
        <f t="shared" si="19"/>
        <v/>
      </c>
      <c r="DD15" s="323" t="str">
        <f t="shared" si="19"/>
        <v/>
      </c>
      <c r="DE15" s="323" t="str">
        <f t="shared" si="19"/>
        <v/>
      </c>
    </row>
    <row r="16" spans="2:109" ht="32.25">
      <c r="B16" s="207" t="str">
        <f xml:space="preserve"> MID($B$11,B13+1, B14-B13-1)</f>
        <v>ㄅㄆㆠㄇㄉㄊㄋㄌㄗㄘㄙㆡㄐㄑㄒㆢㄍㄎㆣㄫㄏㄧㄨㄚㆦㄜㆤㄞㄠㆪㆫㆩㆧㆥㆮㆯㆨㆰㄢㄤㆱㆲㆬㄣㆭㄬ</v>
      </c>
      <c r="C16" s="51">
        <f xml:space="preserve"> LEN(B16)</f>
        <v>46</v>
      </c>
      <c r="H16" s="2">
        <f t="shared" si="9"/>
        <v>14</v>
      </c>
      <c r="I16" s="98" t="str">
        <f t="shared" si="0"/>
        <v>K</v>
      </c>
      <c r="J16" s="98" t="str">
        <f t="shared" si="1"/>
        <v>d</v>
      </c>
      <c r="L16" s="2">
        <v>14</v>
      </c>
      <c r="M16" s="21" t="str">
        <f t="shared" si="2"/>
        <v>H</v>
      </c>
      <c r="N16" s="21" t="str">
        <f t="shared" si="3"/>
        <v>ㄑ</v>
      </c>
      <c r="P16" s="2">
        <v>14</v>
      </c>
      <c r="Q16" s="22" t="str">
        <f t="shared" si="4"/>
        <v/>
      </c>
      <c r="R16" s="22" t="str">
        <f t="shared" si="5"/>
        <v/>
      </c>
      <c r="T16" s="2">
        <v>14</v>
      </c>
      <c r="U16" s="201" t="str">
        <f t="shared" si="6"/>
        <v>d</v>
      </c>
      <c r="V16" s="203" t="str">
        <f t="shared" si="7"/>
        <v>K</v>
      </c>
      <c r="W16" s="202" t="str" cm="1">
        <f t="array" ref="W16" xml:space="preserve"> INDEX(注音編碼對照表[台語ㄅㄆㄇ], MATCH(TRUE, EXACT(表格1_33411[[#This Row],[鍵盤按鍵]], 注音編碼對照表[鍵盤按鍵] ),0))</f>
        <v>ㄎ</v>
      </c>
      <c r="X16" s="204" t="str" cm="1">
        <f t="array" ref="X16" xml:space="preserve"> INDEX(注音編碼對照表!$G$3:$G$60, MATCH(TRUE, EXACT(表格1_33411[[#This Row],[注音編碼]], 注音編碼對照表!$E$3:$E$54), 0))</f>
        <v>kh</v>
      </c>
      <c r="Y16" s="24"/>
      <c r="Z16" s="31">
        <f t="shared" si="10"/>
        <v>14</v>
      </c>
      <c r="AA16" s="71" t="str">
        <f>使用按鍵解析!J24</f>
        <v>H</v>
      </c>
      <c r="AB16" s="192" t="str" cm="1">
        <f t="array" ref="AB16" xml:space="preserve"> INDEX(注音編碼對照表[注音編碼], MATCH(TRUE, EXACT(RIME設定解析!$AA16, 注音編碼對照表[鍵盤按鍵] ),0))</f>
        <v>C</v>
      </c>
      <c r="AC16" s="32" t="str" cm="1">
        <f t="array" ref="AC16" xml:space="preserve"> INDEX(注音編碼對照表[方音符號], MATCH(TRUE, EXACT(RIME設定解析!$AA16, 注音編碼對照表[鍵盤按鍵] ),0))</f>
        <v>ㄑ</v>
      </c>
      <c r="AD16" s="397" t="str" cm="1">
        <f t="array" ref="AD16" xml:space="preserve"> INDEX(注音編碼對照表[台語ㄅㄆㄇ], MATCH(TRUE, EXACT(RIME設定解析!$AA16, 注音編碼對照表[鍵盤按鍵] ),0))</f>
        <v>ㄑ</v>
      </c>
      <c r="AE16" s="264" t="str" cm="1">
        <f t="array" ref="AE16" xml:space="preserve"> INDEX(注音編碼對照表[台語音標], MATCH(TRUE, EXACT(RIME設定解析!$AA16, 注音編碼對照表[鍵盤按鍵] ),0))</f>
        <v>ci-</v>
      </c>
      <c r="AF16" s="204"/>
      <c r="AG16" s="364" t="str">
        <f t="shared" si="11"/>
        <v>"H" : "ㄑ",</v>
      </c>
      <c r="AH16" s="204"/>
      <c r="AI16" s="365" t="str">
        <f t="shared" si="12"/>
        <v>"H" : { commit: "ㄑ" }</v>
      </c>
      <c r="AJ16" s="2"/>
      <c r="AK16" s="399" t="str">
        <f t="shared" si="8"/>
        <v/>
      </c>
      <c r="AL16" s="402"/>
      <c r="AM16" s="210"/>
      <c r="AN16" s="2"/>
      <c r="AP16" s="54"/>
      <c r="BC16" s="11"/>
      <c r="BE16" s="221"/>
      <c r="BH16" s="2"/>
    </row>
    <row r="17" spans="2:60" ht="32.25">
      <c r="H17" s="2">
        <f t="shared" si="9"/>
        <v>15</v>
      </c>
      <c r="I17" s="98" t="str">
        <f t="shared" si="0"/>
        <v>g</v>
      </c>
      <c r="J17" s="98" t="str">
        <f t="shared" si="1"/>
        <v>E</v>
      </c>
      <c r="L17" s="2">
        <v>15</v>
      </c>
      <c r="M17" s="21" t="str">
        <f t="shared" si="2"/>
        <v>N</v>
      </c>
      <c r="N17" s="21" t="str">
        <f t="shared" si="3"/>
        <v>ㄒ</v>
      </c>
      <c r="P17" s="2">
        <v>15</v>
      </c>
      <c r="Q17" s="22" t="str">
        <f t="shared" si="4"/>
        <v/>
      </c>
      <c r="R17" s="22" t="str">
        <f t="shared" si="5"/>
        <v/>
      </c>
      <c r="T17" s="2">
        <v>15</v>
      </c>
      <c r="U17" s="201" t="str">
        <f t="shared" si="6"/>
        <v>E</v>
      </c>
      <c r="V17" s="203" t="str">
        <f t="shared" si="7"/>
        <v>g</v>
      </c>
      <c r="W17" s="202" t="str" cm="1">
        <f t="array" ref="W17" xml:space="preserve"> INDEX(注音編碼對照表[台語ㄅㄆㄇ], MATCH(TRUE, EXACT(表格1_33411[[#This Row],[鍵盤按鍵]], 注音編碼對照表[鍵盤按鍵] ),0))</f>
        <v>ㆣ</v>
      </c>
      <c r="X17" s="204" t="str" cm="1">
        <f t="array" ref="X17" xml:space="preserve"> INDEX(注音編碼對照表!$G$3:$G$60, MATCH(TRUE, EXACT(表格1_33411[[#This Row],[注音編碼]], 注音編碼對照表!$E$3:$E$54), 0))</f>
        <v>g</v>
      </c>
      <c r="Y17" s="24"/>
      <c r="Z17" s="31">
        <f t="shared" si="10"/>
        <v>15</v>
      </c>
      <c r="AA17" s="71" t="str">
        <f>使用按鍵解析!J25</f>
        <v>N</v>
      </c>
      <c r="AB17" s="192" t="str" cm="1">
        <f t="array" ref="AB17" xml:space="preserve"> INDEX(注音編碼對照表[注音編碼], MATCH(TRUE, EXACT(RIME設定解析!$AA17, 注音編碼對照表[鍵盤按鍵] ),0))</f>
        <v>S</v>
      </c>
      <c r="AC17" s="32" t="str" cm="1">
        <f t="array" ref="AC17" xml:space="preserve"> INDEX(注音編碼對照表[方音符號], MATCH(TRUE, EXACT(RIME設定解析!$AA17, 注音編碼對照表[鍵盤按鍵] ),0))</f>
        <v>ㄒ</v>
      </c>
      <c r="AD17" s="397" t="str" cm="1">
        <f t="array" ref="AD17" xml:space="preserve"> INDEX(注音編碼對照表[台語ㄅㄆㄇ], MATCH(TRUE, EXACT(RIME設定解析!$AA17, 注音編碼對照表[鍵盤按鍵] ),0))</f>
        <v>ㄒ</v>
      </c>
      <c r="AE17" s="264" t="str" cm="1">
        <f t="array" ref="AE17" xml:space="preserve"> INDEX(注音編碼對照表[台語音標], MATCH(TRUE, EXACT(RIME設定解析!$AA17, 注音編碼對照表[鍵盤按鍵] ),0))</f>
        <v>si-</v>
      </c>
      <c r="AF17" s="204"/>
      <c r="AG17" s="364" t="str">
        <f t="shared" si="11"/>
        <v>"N" : "ㄒ",</v>
      </c>
      <c r="AH17" s="204"/>
      <c r="AI17" s="365" t="str">
        <f t="shared" si="12"/>
        <v>"N" : { commit: "ㄒ" }</v>
      </c>
      <c r="AJ17" s="2"/>
      <c r="AK17" s="399" t="str">
        <f t="shared" si="8"/>
        <v/>
      </c>
      <c r="AL17" s="402"/>
      <c r="BE17" s="221"/>
      <c r="BH17" s="2"/>
    </row>
    <row r="18" spans="2:60" ht="32.25">
      <c r="H18" s="2">
        <f t="shared" si="9"/>
        <v>16</v>
      </c>
      <c r="I18" s="98" t="str">
        <f t="shared" si="0"/>
        <v>w</v>
      </c>
      <c r="J18" s="98" t="str">
        <f t="shared" si="1"/>
        <v>g</v>
      </c>
      <c r="L18" s="2">
        <v>16</v>
      </c>
      <c r="M18" s="21" t="str">
        <f t="shared" si="2"/>
        <v>B</v>
      </c>
      <c r="N18" s="21" t="str">
        <f t="shared" si="3"/>
        <v>ㆢ</v>
      </c>
      <c r="P18" s="2">
        <v>16</v>
      </c>
      <c r="Q18" s="22" t="str">
        <f t="shared" si="4"/>
        <v/>
      </c>
      <c r="R18" s="22" t="str">
        <f t="shared" si="5"/>
        <v/>
      </c>
      <c r="T18" s="2">
        <v>16</v>
      </c>
      <c r="U18" s="201" t="str">
        <f t="shared" si="6"/>
        <v>g</v>
      </c>
      <c r="V18" s="203" t="str">
        <f t="shared" si="7"/>
        <v>w</v>
      </c>
      <c r="W18" s="202" t="str" cm="1">
        <f t="array" ref="W18" xml:space="preserve"> INDEX(注音編碼對照表[台語ㄅㄆㄇ], MATCH(TRUE, EXACT(表格1_33411[[#This Row],[鍵盤按鍵]], 注音編碼對照表[鍵盤按鍵] ),0))</f>
        <v>ㄥ</v>
      </c>
      <c r="X18" s="204" t="str" cm="1">
        <f t="array" ref="X18" xml:space="preserve"> INDEX(注音編碼對照表!$G$3:$G$60, MATCH(TRUE, EXACT(表格1_33411[[#This Row],[注音編碼]], 注音編碼對照表!$E$3:$E$54), 0))</f>
        <v>ng-</v>
      </c>
      <c r="Y18" s="24"/>
      <c r="Z18" s="31">
        <f t="shared" si="10"/>
        <v>16</v>
      </c>
      <c r="AA18" s="71" t="str">
        <f>使用按鍵解析!J26</f>
        <v>B</v>
      </c>
      <c r="AB18" s="192" t="str" cm="1">
        <f t="array" ref="AB18" xml:space="preserve"> INDEX(注音編碼對照表[注音編碼], MATCH(TRUE, EXACT(RIME設定解析!$AA18, 注音編碼對照表[鍵盤按鍵] ),0))</f>
        <v>J</v>
      </c>
      <c r="AC18" s="32" t="str" cm="1">
        <f t="array" ref="AC18" xml:space="preserve"> INDEX(注音編碼對照表[方音符號], MATCH(TRUE, EXACT(RIME設定解析!$AA18, 注音編碼對照表[鍵盤按鍵] ),0))</f>
        <v>ㆢ</v>
      </c>
      <c r="AD18" s="397" t="str" cm="1">
        <f t="array" ref="AD18" xml:space="preserve"> INDEX(注音編碼對照表[台語ㄅㄆㄇ], MATCH(TRUE, EXACT(RIME設定解析!$AA18, 注音編碼對照表[鍵盤按鍵] ),0))</f>
        <v>ㆢ</v>
      </c>
      <c r="AE18" s="264" t="str" cm="1">
        <f t="array" ref="AE18" xml:space="preserve"> INDEX(注音編碼對照表[台語音標], MATCH(TRUE, EXACT(RIME設定解析!$AA18, 注音編碼對照表[鍵盤按鍵] ),0))</f>
        <v>ji-</v>
      </c>
      <c r="AF18" s="204"/>
      <c r="AG18" s="364" t="str">
        <f t="shared" si="11"/>
        <v>"B" : "ㆢ",</v>
      </c>
      <c r="AH18" s="204"/>
      <c r="AI18" s="365" t="str">
        <f t="shared" si="12"/>
        <v>"B" : { commit: "ㆢ" }</v>
      </c>
      <c r="AJ18" s="2"/>
      <c r="AK18" s="399" t="str">
        <f t="shared" si="8"/>
        <v/>
      </c>
      <c r="AL18" s="402"/>
      <c r="BE18" s="221"/>
      <c r="BH18" s="2"/>
    </row>
    <row r="19" spans="2:60" ht="32.25">
      <c r="H19" s="2">
        <f t="shared" si="9"/>
        <v>17</v>
      </c>
      <c r="I19" s="98" t="str">
        <f t="shared" si="0"/>
        <v>h</v>
      </c>
      <c r="J19" s="205" t="str">
        <f t="shared" si="1"/>
        <v>c</v>
      </c>
      <c r="L19" s="2">
        <v>17</v>
      </c>
      <c r="M19" s="206" t="str">
        <f t="shared" si="2"/>
        <v>e</v>
      </c>
      <c r="N19" s="21" t="str">
        <f t="shared" si="3"/>
        <v>ㄍ</v>
      </c>
      <c r="P19" s="2">
        <v>17</v>
      </c>
      <c r="Q19" s="22" t="str">
        <f t="shared" si="4"/>
        <v/>
      </c>
      <c r="R19" s="22" t="str">
        <f t="shared" si="5"/>
        <v/>
      </c>
      <c r="T19" s="2">
        <v>17</v>
      </c>
      <c r="U19" s="201" t="str">
        <f t="shared" si="6"/>
        <v>c</v>
      </c>
      <c r="V19" s="203" t="str">
        <f t="shared" si="7"/>
        <v>h</v>
      </c>
      <c r="W19" s="202" t="str" cm="1">
        <f t="array" ref="W19" xml:space="preserve"> INDEX(注音編碼對照表[台語ㄅㄆㄇ], MATCH(TRUE, EXACT(表格1_33411[[#This Row],[鍵盤按鍵]], 注音編碼對照表[鍵盤按鍵] ),0))</f>
        <v>ㄏ</v>
      </c>
      <c r="X19" s="204" t="str" cm="1">
        <f t="array" ref="X19" xml:space="preserve"> INDEX(注音編碼對照表!$G$3:$G$60, MATCH(TRUE, EXACT(表格1_33411[[#This Row],[注音編碼]], 注音編碼對照表!$E$3:$E$54), 0))</f>
        <v>h</v>
      </c>
      <c r="Y19" s="24"/>
      <c r="Z19" s="31">
        <f t="shared" si="10"/>
        <v>17</v>
      </c>
      <c r="AA19" s="71" t="str">
        <f>使用按鍵解析!J27</f>
        <v>e</v>
      </c>
      <c r="AB19" s="192" t="str" cm="1">
        <f t="array" ref="AB19" xml:space="preserve"> INDEX(注音編碼對照表[注音編碼], MATCH(TRUE, EXACT(RIME設定解析!$AA19, 注音編碼對照表[鍵盤按鍵] ),0))</f>
        <v>k</v>
      </c>
      <c r="AC19" s="32" t="str" cm="1">
        <f t="array" ref="AC19" xml:space="preserve"> INDEX(注音編碼對照表[方音符號], MATCH(TRUE, EXACT(RIME設定解析!$AA19, 注音編碼對照表[鍵盤按鍵] ),0))</f>
        <v>ㄍ</v>
      </c>
      <c r="AD19" s="397" t="str" cm="1">
        <f t="array" ref="AD19" xml:space="preserve"> INDEX(注音編碼對照表[台語ㄅㄆㄇ], MATCH(TRUE, EXACT(RIME設定解析!$AA19, 注音編碼對照表[鍵盤按鍵] ),0))</f>
        <v>ㄍ</v>
      </c>
      <c r="AE19" s="264" t="str" cm="1">
        <f t="array" ref="AE19" xml:space="preserve"> INDEX(注音編碼對照表[台語音標], MATCH(TRUE, EXACT(RIME設定解析!$AA19, 注音編碼對照表[鍵盤按鍵] ),0))</f>
        <v>k</v>
      </c>
      <c r="AF19" s="204"/>
      <c r="AG19" s="364" t="str">
        <f t="shared" si="11"/>
        <v>"e" : "ㄍ",</v>
      </c>
      <c r="AH19" s="204"/>
      <c r="AI19" s="365" t="str">
        <f t="shared" si="12"/>
        <v>"e" : { commit: "ㄍ" }</v>
      </c>
      <c r="AJ19" s="2"/>
      <c r="AK19" s="399" t="str">
        <f t="shared" si="8"/>
        <v/>
      </c>
      <c r="AL19" s="402"/>
      <c r="BE19" s="221"/>
      <c r="BH19" s="2"/>
    </row>
    <row r="20" spans="2:60" ht="32.25">
      <c r="B20" s="1" t="s">
        <v>60</v>
      </c>
      <c r="H20" s="2">
        <f t="shared" si="9"/>
        <v>18</v>
      </c>
      <c r="I20" s="98" t="str">
        <f t="shared" si="0"/>
        <v>i</v>
      </c>
      <c r="J20" s="205" t="str">
        <f t="shared" si="1"/>
        <v>u</v>
      </c>
      <c r="L20" s="2">
        <v>18</v>
      </c>
      <c r="M20" s="206" t="str">
        <f>J20</f>
        <v>u</v>
      </c>
      <c r="N20" s="21" t="str">
        <f t="shared" si="3"/>
        <v>ㄎ</v>
      </c>
      <c r="P20" s="2">
        <v>18</v>
      </c>
      <c r="Q20" s="22" t="str">
        <f t="shared" si="4"/>
        <v/>
      </c>
      <c r="R20" s="22" t="str">
        <f t="shared" si="5"/>
        <v/>
      </c>
      <c r="T20" s="2">
        <v>18</v>
      </c>
      <c r="U20" s="201" t="str">
        <f t="shared" si="6"/>
        <v>u</v>
      </c>
      <c r="V20" s="203" t="str">
        <f t="shared" si="7"/>
        <v>i</v>
      </c>
      <c r="W20" s="202" t="str" cm="1">
        <f t="array" ref="W20" xml:space="preserve"> INDEX(注音編碼對照表[台語ㄅㄆㄇ], MATCH(TRUE, EXACT(表格1_33411[[#This Row],[鍵盤按鍵]], 注音編碼對照表[鍵盤按鍵] ),0))</f>
        <v>ㄧ</v>
      </c>
      <c r="X20" s="204" t="str" cm="1">
        <f t="array" ref="X20" xml:space="preserve"> INDEX(注音編碼對照表!$G$3:$G$60, MATCH(TRUE, EXACT(表格1_33411[[#This Row],[注音編碼]], 注音編碼對照表!$E$3:$E$54), 0))</f>
        <v>i</v>
      </c>
      <c r="Y20" s="24"/>
      <c r="Z20" s="31">
        <f t="shared" si="10"/>
        <v>18</v>
      </c>
      <c r="AA20" s="71" t="str">
        <f>使用按鍵解析!J28</f>
        <v>d</v>
      </c>
      <c r="AB20" s="192" t="str" cm="1">
        <f t="array" ref="AB20" xml:space="preserve"> INDEX(注音編碼對照表[注音編碼], MATCH(TRUE, EXACT(RIME設定解析!$AA20, 注音編碼對照表[鍵盤按鍵] ),0))</f>
        <v>K</v>
      </c>
      <c r="AC20" s="32" t="str" cm="1">
        <f t="array" ref="AC20" xml:space="preserve"> INDEX(注音編碼對照表[方音符號], MATCH(TRUE, EXACT(RIME設定解析!$AA20, 注音編碼對照表[鍵盤按鍵] ),0))</f>
        <v>ㄎ</v>
      </c>
      <c r="AD20" s="397" t="str" cm="1">
        <f t="array" ref="AD20" xml:space="preserve"> INDEX(注音編碼對照表[台語ㄅㄆㄇ], MATCH(TRUE, EXACT(RIME設定解析!$AA20, 注音編碼對照表[鍵盤按鍵] ),0))</f>
        <v>ㄎ</v>
      </c>
      <c r="AE20" s="264" t="str" cm="1">
        <f t="array" ref="AE20" xml:space="preserve"> INDEX(注音編碼對照表[台語音標], MATCH(TRUE, EXACT(RIME設定解析!$AA20, 注音編碼對照表[鍵盤按鍵] ),0))</f>
        <v>kh</v>
      </c>
      <c r="AF20" s="204"/>
      <c r="AG20" s="364" t="str">
        <f t="shared" si="11"/>
        <v>"d" : "ㄎ",</v>
      </c>
      <c r="AH20" s="204"/>
      <c r="AI20" s="365" t="str">
        <f t="shared" si="12"/>
        <v>"d" : { commit: "ㄎ" }</v>
      </c>
      <c r="AJ20" s="2"/>
      <c r="AK20" s="399" t="str">
        <f t="shared" si="8"/>
        <v/>
      </c>
      <c r="AL20" s="402"/>
      <c r="BC20" s="11"/>
      <c r="BE20" s="221"/>
      <c r="BH20" s="2"/>
    </row>
    <row r="21" spans="2:60" ht="32.25">
      <c r="B21" s="12"/>
      <c r="H21" s="2">
        <f t="shared" si="9"/>
        <v>19</v>
      </c>
      <c r="I21" s="98" t="str">
        <f t="shared" si="0"/>
        <v>u</v>
      </c>
      <c r="J21" s="205" t="str">
        <f t="shared" si="1"/>
        <v>j</v>
      </c>
      <c r="L21" s="2">
        <v>19</v>
      </c>
      <c r="M21" s="206" t="str">
        <f>J21</f>
        <v>j</v>
      </c>
      <c r="N21" s="21" t="str">
        <f t="shared" si="3"/>
        <v>ㆣ</v>
      </c>
      <c r="P21" s="2">
        <v>19</v>
      </c>
      <c r="Q21" s="22" t="str">
        <f t="shared" si="4"/>
        <v/>
      </c>
      <c r="R21" s="22" t="str">
        <f t="shared" si="5"/>
        <v/>
      </c>
      <c r="T21" s="2">
        <v>19</v>
      </c>
      <c r="U21" s="201" t="str">
        <f t="shared" si="6"/>
        <v>j</v>
      </c>
      <c r="V21" s="203" t="str">
        <f t="shared" si="7"/>
        <v>u</v>
      </c>
      <c r="W21" s="202" t="str" cm="1">
        <f t="array" ref="W21" xml:space="preserve"> INDEX(注音編碼對照表[台語ㄅㄆㄇ], MATCH(TRUE, EXACT(表格1_33411[[#This Row],[鍵盤按鍵]], 注音編碼對照表[鍵盤按鍵] ),0))</f>
        <v>ㄨ</v>
      </c>
      <c r="X21" s="204" t="str" cm="1">
        <f t="array" ref="X21" xml:space="preserve"> INDEX(注音編碼對照表!$G$3:$G$60, MATCH(TRUE, EXACT(表格1_33411[[#This Row],[注音編碼]], 注音編碼對照表!$E$3:$E$54), 0))</f>
        <v>u</v>
      </c>
      <c r="Y21" s="24"/>
      <c r="Z21" s="31">
        <f t="shared" si="10"/>
        <v>19</v>
      </c>
      <c r="AA21" s="71" t="str">
        <f>使用按鍵解析!J29</f>
        <v>E</v>
      </c>
      <c r="AB21" s="192" t="str" cm="1">
        <f t="array" ref="AB21" xml:space="preserve"> INDEX(注音編碼對照表[注音編碼], MATCH(TRUE, EXACT(RIME設定解析!$AA21, 注音編碼對照表[鍵盤按鍵] ),0))</f>
        <v>g</v>
      </c>
      <c r="AC21" s="32" t="str" cm="1">
        <f t="array" ref="AC21" xml:space="preserve"> INDEX(注音編碼對照表[方音符號], MATCH(TRUE, EXACT(RIME設定解析!$AA21, 注音編碼對照表[鍵盤按鍵] ),0))</f>
        <v>ㆣ</v>
      </c>
      <c r="AD21" s="397" t="str" cm="1">
        <f t="array" ref="AD21" xml:space="preserve"> INDEX(注音編碼對照表[台語ㄅㄆㄇ], MATCH(TRUE, EXACT(RIME設定解析!$AA21, 注音編碼對照表[鍵盤按鍵] ),0))</f>
        <v>ㆣ</v>
      </c>
      <c r="AE21" s="264" t="str" cm="1">
        <f t="array" ref="AE21" xml:space="preserve"> INDEX(注音編碼對照表[台語音標], MATCH(TRUE, EXACT(RIME設定解析!$AA21, 注音編碼對照表[鍵盤按鍵] ),0))</f>
        <v>g</v>
      </c>
      <c r="AF21" s="204"/>
      <c r="AG21" s="364" t="str">
        <f t="shared" si="11"/>
        <v>"E" : "ㆣ",</v>
      </c>
      <c r="AH21" s="204"/>
      <c r="AI21" s="365" t="str">
        <f t="shared" si="12"/>
        <v>"E" : { commit: "ㆣ" }</v>
      </c>
      <c r="AJ21" s="2"/>
      <c r="AK21" s="399" t="str">
        <f t="shared" si="8"/>
        <v/>
      </c>
      <c r="AL21" s="402"/>
      <c r="BC21" s="11"/>
      <c r="BE21" s="221"/>
      <c r="BH21" s="2"/>
    </row>
    <row r="22" spans="2:60" ht="32.25">
      <c r="B22" s="2" t="e">
        <f xml:space="preserve"> SEARCH("|",B21,1)</f>
        <v>#VALUE!</v>
      </c>
      <c r="H22" s="2">
        <f t="shared" si="9"/>
        <v>20</v>
      </c>
      <c r="I22" s="98" t="str">
        <f t="shared" si="0"/>
        <v>a</v>
      </c>
      <c r="J22" s="205" t="str">
        <f t="shared" si="1"/>
        <v>8</v>
      </c>
      <c r="L22" s="2">
        <v>20</v>
      </c>
      <c r="M22" s="206" t="str">
        <f>J22</f>
        <v>8</v>
      </c>
      <c r="N22" s="21" t="str">
        <f t="shared" si="3"/>
        <v>ㄫ</v>
      </c>
      <c r="P22" s="2">
        <v>20</v>
      </c>
      <c r="Q22" s="22" t="str">
        <f t="shared" si="4"/>
        <v/>
      </c>
      <c r="R22" s="22" t="str">
        <f t="shared" si="5"/>
        <v/>
      </c>
      <c r="T22" s="2">
        <v>20</v>
      </c>
      <c r="U22" s="201" t="str">
        <f t="shared" si="6"/>
        <v>8</v>
      </c>
      <c r="V22" s="203" t="str">
        <f t="shared" si="7"/>
        <v>a</v>
      </c>
      <c r="W22" s="202" t="str" cm="1">
        <f t="array" ref="W22" xml:space="preserve"> INDEX(注音編碼對照表[台語ㄅㄆㄇ], MATCH(TRUE, EXACT(表格1_33411[[#This Row],[鍵盤按鍵]], 注音編碼對照表[鍵盤按鍵] ),0))</f>
        <v>ㄚ</v>
      </c>
      <c r="X22" s="204" t="str" cm="1">
        <f t="array" ref="X22" xml:space="preserve"> INDEX(注音編碼對照表!$G$3:$G$60, MATCH(TRUE, EXACT(表格1_33411[[#This Row],[注音編碼]], 注音編碼對照表!$E$3:$E$54), 0))</f>
        <v>a</v>
      </c>
      <c r="Y22" s="24"/>
      <c r="Z22" s="31">
        <f t="shared" si="10"/>
        <v>20</v>
      </c>
      <c r="AA22" s="71" t="str">
        <f>使用按鍵解析!J30</f>
        <v>g</v>
      </c>
      <c r="AB22" s="192" t="str" cm="1">
        <f t="array" ref="AB22" xml:space="preserve"> INDEX(注音編碼對照表[注音編碼], MATCH(TRUE, EXACT(RIME設定解析!$AA22, 注音編碼對照表[鍵盤按鍵] ),0))</f>
        <v>w</v>
      </c>
      <c r="AC22" s="32" t="str" cm="1">
        <f t="array" ref="AC22" xml:space="preserve"> INDEX(注音編碼對照表[方音符號], MATCH(TRUE, EXACT(RIME設定解析!$AA22, 注音編碼對照表[鍵盤按鍵] ),0))</f>
        <v>ㄫ</v>
      </c>
      <c r="AD22" s="397" t="str" cm="1">
        <f t="array" ref="AD22" xml:space="preserve"> INDEX(注音編碼對照表[台語ㄅㄆㄇ], MATCH(TRUE, EXACT(RIME設定解析!$AA22, 注音編碼對照表[鍵盤按鍵] ),0))</f>
        <v>ㄥ</v>
      </c>
      <c r="AE22" s="264" t="str" cm="1">
        <f t="array" ref="AE22" xml:space="preserve"> INDEX(注音編碼對照表[台語音標], MATCH(TRUE, EXACT(RIME設定解析!$AA22, 注音編碼對照表[鍵盤按鍵] ),0))</f>
        <v>ng-</v>
      </c>
      <c r="AF22" s="204"/>
      <c r="AG22" s="364" t="str">
        <f t="shared" si="11"/>
        <v>"g" : "ㄥ",</v>
      </c>
      <c r="AH22" s="204"/>
      <c r="AI22" s="365" t="str">
        <f t="shared" si="12"/>
        <v>"g" : { commit: "ㄥ" }</v>
      </c>
      <c r="AJ22" s="2"/>
      <c r="AK22" s="399" t="str">
        <f t="shared" si="8"/>
        <v/>
      </c>
      <c r="AL22" s="402"/>
      <c r="BC22" s="11"/>
      <c r="BE22" s="221"/>
      <c r="BH22" s="2"/>
    </row>
    <row r="23" spans="2:60" ht="32.25">
      <c r="B23" s="2" t="e">
        <f xml:space="preserve"> SEARCH("|",B21,B22+1)</f>
        <v>#VALUE!</v>
      </c>
      <c r="H23" s="2">
        <f t="shared" si="9"/>
        <v>21</v>
      </c>
      <c r="I23" s="98" t="str">
        <f t="shared" si="0"/>
        <v>O</v>
      </c>
      <c r="J23" s="98" t="str">
        <f t="shared" si="1"/>
        <v>i</v>
      </c>
      <c r="L23" s="2">
        <v>21</v>
      </c>
      <c r="M23" s="21" t="str">
        <f t="shared" ref="M23:M48" si="20" xml:space="preserve"> IFERROR( MID($B$15, $H23, 1), "")</f>
        <v>c</v>
      </c>
      <c r="N23" s="21" t="str">
        <f t="shared" si="3"/>
        <v>ㄏ</v>
      </c>
      <c r="P23" s="2">
        <v>21</v>
      </c>
      <c r="Q23" s="22" t="str">
        <f t="shared" si="4"/>
        <v/>
      </c>
      <c r="R23" s="22" t="str">
        <f t="shared" si="5"/>
        <v/>
      </c>
      <c r="T23" s="2">
        <v>21</v>
      </c>
      <c r="U23" s="201" t="str">
        <f t="shared" si="6"/>
        <v>i</v>
      </c>
      <c r="V23" s="203" t="str">
        <f t="shared" si="7"/>
        <v>O</v>
      </c>
      <c r="W23" s="202" t="str" cm="1">
        <f t="array" ref="W23" xml:space="preserve"> INDEX(注音編碼對照表[台語ㄅㄆㄇ], MATCH(TRUE, EXACT(表格1_33411[[#This Row],[鍵盤按鍵]], 注音編碼對照表[鍵盤按鍵] ),0))</f>
        <v>ㆦ</v>
      </c>
      <c r="X23" s="204" t="str" cm="1">
        <f t="array" ref="X23" xml:space="preserve"> INDEX(注音編碼對照表!$G$3:$G$60, MATCH(TRUE, EXACT(表格1_33411[[#This Row],[注音編碼]], 注音編碼對照表!$E$3:$E$54), 0))</f>
        <v>oo</v>
      </c>
      <c r="Y23" s="24"/>
      <c r="Z23" s="31">
        <f t="shared" si="10"/>
        <v>21</v>
      </c>
      <c r="AA23" s="71" t="str">
        <f>使用按鍵解析!J31</f>
        <v>c</v>
      </c>
      <c r="AB23" s="192" t="str" cm="1">
        <f t="array" ref="AB23" xml:space="preserve"> INDEX(注音編碼對照表[注音編碼], MATCH(TRUE, EXACT(RIME設定解析!$AA23, 注音編碼對照表[鍵盤按鍵] ),0))</f>
        <v>h</v>
      </c>
      <c r="AC23" s="32" t="str" cm="1">
        <f t="array" ref="AC23" xml:space="preserve"> INDEX(注音編碼對照表[方音符號], MATCH(TRUE, EXACT(RIME設定解析!$AA23, 注音編碼對照表[鍵盤按鍵] ),0))</f>
        <v>ㄏ</v>
      </c>
      <c r="AD23" s="397" t="str" cm="1">
        <f t="array" ref="AD23" xml:space="preserve"> INDEX(注音編碼對照表[台語ㄅㄆㄇ], MATCH(TRUE, EXACT(RIME設定解析!$AA23, 注音編碼對照表[鍵盤按鍵] ),0))</f>
        <v>ㄏ</v>
      </c>
      <c r="AE23" s="264" t="str" cm="1">
        <f t="array" ref="AE23" xml:space="preserve"> INDEX(注音編碼對照表[台語音標], MATCH(TRUE, EXACT(RIME設定解析!$AA23, 注音編碼對照表[鍵盤按鍵] ),0))</f>
        <v>h</v>
      </c>
      <c r="AF23" s="204"/>
      <c r="AG23" s="364" t="str">
        <f t="shared" si="11"/>
        <v>"c" : "ㄏ",</v>
      </c>
      <c r="AH23" s="204"/>
      <c r="AI23" s="365" t="str">
        <f t="shared" si="12"/>
        <v>"c" : { commit: "ㄏ" }</v>
      </c>
      <c r="AJ23" s="2"/>
      <c r="AK23" s="399" t="str">
        <f t="shared" si="8"/>
        <v/>
      </c>
      <c r="AL23" s="402"/>
      <c r="AM23" s="210"/>
      <c r="AN23" s="2"/>
      <c r="BC23" s="11"/>
      <c r="BE23" s="221"/>
      <c r="BH23" s="2"/>
    </row>
    <row r="24" spans="2:60" ht="32.25">
      <c r="B24" s="2" t="e">
        <f xml:space="preserve"> SEARCH("|",B21,B23+1)</f>
        <v>#VALUE!</v>
      </c>
      <c r="H24" s="2">
        <f t="shared" si="9"/>
        <v>22</v>
      </c>
      <c r="I24" s="98" t="str">
        <f t="shared" si="0"/>
        <v>o</v>
      </c>
      <c r="J24" s="98" t="str">
        <f t="shared" si="1"/>
        <v>k</v>
      </c>
      <c r="L24" s="2">
        <v>22</v>
      </c>
      <c r="M24" s="21" t="str">
        <f t="shared" si="20"/>
        <v>u</v>
      </c>
      <c r="N24" s="21" t="str">
        <f t="shared" si="3"/>
        <v>ㄧ</v>
      </c>
      <c r="P24" s="2">
        <v>22</v>
      </c>
      <c r="Q24" s="22" t="str">
        <f t="shared" si="4"/>
        <v/>
      </c>
      <c r="R24" s="22" t="str">
        <f t="shared" si="5"/>
        <v/>
      </c>
      <c r="T24" s="2">
        <v>22</v>
      </c>
      <c r="U24" s="201" t="str">
        <f t="shared" si="6"/>
        <v>k</v>
      </c>
      <c r="V24" s="203" t="str">
        <f t="shared" si="7"/>
        <v>o</v>
      </c>
      <c r="W24" s="202" t="str" cm="1">
        <f t="array" ref="W24" xml:space="preserve"> INDEX(注音編碼對照表[台語ㄅㄆㄇ], MATCH(TRUE, EXACT(表格1_33411[[#This Row],[鍵盤按鍵]], 注音編碼對照表[鍵盤按鍵] ),0))</f>
        <v>ㄜ</v>
      </c>
      <c r="X24" s="204" t="str" cm="1">
        <f t="array" ref="X24" xml:space="preserve"> INDEX(注音編碼對照表!$G$3:$G$60, MATCH(TRUE, EXACT(表格1_33411[[#This Row],[注音編碼]], 注音編碼對照表!$E$3:$E$54), 0))</f>
        <v>o</v>
      </c>
      <c r="Y24" s="24"/>
      <c r="Z24" s="77">
        <f t="shared" si="10"/>
        <v>22</v>
      </c>
      <c r="AA24" s="71" t="str">
        <f>使用按鍵解析!J32</f>
        <v>u</v>
      </c>
      <c r="AB24" s="192" t="str" cm="1">
        <f t="array" ref="AB24" xml:space="preserve"> INDEX(注音編碼對照表[注音編碼], MATCH(TRUE, EXACT(RIME設定解析!$AA24, 注音編碼對照表[鍵盤按鍵] ),0))</f>
        <v>i</v>
      </c>
      <c r="AC24" s="32" t="str" cm="1">
        <f t="array" ref="AC24" xml:space="preserve"> INDEX(注音編碼對照表[方音符號], MATCH(TRUE, EXACT(RIME設定解析!$AA24, 注音編碼對照表[鍵盤按鍵] ),0))</f>
        <v>ㄧ</v>
      </c>
      <c r="AD24" s="397" t="str" cm="1">
        <f t="array" ref="AD24" xml:space="preserve"> INDEX(注音編碼對照表[台語ㄅㄆㄇ], MATCH(TRUE, EXACT(RIME設定解析!$AA24, 注音編碼對照表[鍵盤按鍵] ),0))</f>
        <v>ㄧ</v>
      </c>
      <c r="AE24" s="264" t="str" cm="1">
        <f t="array" ref="AE24" xml:space="preserve"> INDEX(注音編碼對照表[台語音標], MATCH(TRUE, EXACT(RIME設定解析!$AA24, 注音編碼對照表[鍵盤按鍵] ),0))</f>
        <v>i</v>
      </c>
      <c r="AF24" s="204"/>
      <c r="AG24" s="364" t="str">
        <f t="shared" si="11"/>
        <v>"u" : "ㄧ",</v>
      </c>
      <c r="AH24" s="204"/>
      <c r="AI24" s="365" t="str">
        <f t="shared" si="12"/>
        <v>"u" : { commit: "ㄧ" }</v>
      </c>
      <c r="AJ24" s="2"/>
      <c r="AK24" s="399" t="str">
        <f t="shared" si="8"/>
        <v/>
      </c>
      <c r="AL24" s="402"/>
      <c r="AM24" s="210"/>
      <c r="AN24" s="2"/>
      <c r="BC24" s="11"/>
      <c r="BE24" s="221"/>
      <c r="BH24" s="2"/>
    </row>
    <row r="25" spans="2:60" ht="32.25">
      <c r="B25" s="50" t="e">
        <f xml:space="preserve"> MID(B21,B22+1, B24-B23-1)</f>
        <v>#VALUE!</v>
      </c>
      <c r="C25" s="51" t="e">
        <f xml:space="preserve"> LEN(B25)</f>
        <v>#VALUE!</v>
      </c>
      <c r="H25" s="2">
        <f t="shared" si="9"/>
        <v>23</v>
      </c>
      <c r="I25" s="98" t="str">
        <f t="shared" si="0"/>
        <v>e</v>
      </c>
      <c r="J25" s="98" t="str">
        <f t="shared" si="1"/>
        <v>,</v>
      </c>
      <c r="L25" s="2">
        <v>23</v>
      </c>
      <c r="M25" s="21" t="str">
        <f t="shared" si="20"/>
        <v>j</v>
      </c>
      <c r="N25" s="21" t="str">
        <f t="shared" si="3"/>
        <v>ㄨ</v>
      </c>
      <c r="P25" s="2">
        <v>23</v>
      </c>
      <c r="Q25" s="22" t="str">
        <f t="shared" si="4"/>
        <v/>
      </c>
      <c r="R25" s="22" t="str">
        <f t="shared" si="5"/>
        <v/>
      </c>
      <c r="T25" s="2">
        <v>23</v>
      </c>
      <c r="U25" s="201" t="str">
        <f t="shared" si="6"/>
        <v>,</v>
      </c>
      <c r="V25" s="203" t="str">
        <f t="shared" si="7"/>
        <v>e</v>
      </c>
      <c r="W25" s="202" t="str" cm="1">
        <f t="array" ref="W25" xml:space="preserve"> INDEX(注音編碼對照表[台語ㄅㄆㄇ], MATCH(TRUE, EXACT(表格1_33411[[#This Row],[鍵盤按鍵]], 注音編碼對照表[鍵盤按鍵] ),0))</f>
        <v>ㆤ</v>
      </c>
      <c r="X25" s="204" t="str" cm="1">
        <f t="array" ref="X25" xml:space="preserve"> INDEX(注音編碼對照表!$G$3:$G$60, MATCH(TRUE, EXACT(表格1_33411[[#This Row],[注音編碼]], 注音編碼對照表!$E$3:$E$54), 0))</f>
        <v>e</v>
      </c>
      <c r="Y25" s="24"/>
      <c r="Z25" s="77">
        <f t="shared" si="10"/>
        <v>23</v>
      </c>
      <c r="AA25" s="71" t="str">
        <f>使用按鍵解析!J33</f>
        <v>j</v>
      </c>
      <c r="AB25" s="192" t="str" cm="1">
        <f t="array" ref="AB25" xml:space="preserve"> INDEX(注音編碼對照表[注音編碼], MATCH(TRUE, EXACT(RIME設定解析!$AA25, 注音編碼對照表[鍵盤按鍵] ),0))</f>
        <v>u</v>
      </c>
      <c r="AC25" s="32" t="str" cm="1">
        <f t="array" ref="AC25" xml:space="preserve"> INDEX(注音編碼對照表[方音符號], MATCH(TRUE, EXACT(RIME設定解析!$AA25, 注音編碼對照表[鍵盤按鍵] ),0))</f>
        <v>ㄨ</v>
      </c>
      <c r="AD25" s="397" t="str" cm="1">
        <f t="array" ref="AD25" xml:space="preserve"> INDEX(注音編碼對照表[台語ㄅㄆㄇ], MATCH(TRUE, EXACT(RIME設定解析!$AA25, 注音編碼對照表[鍵盤按鍵] ),0))</f>
        <v>ㄨ</v>
      </c>
      <c r="AE25" s="264" t="str" cm="1">
        <f t="array" ref="AE25" xml:space="preserve"> INDEX(注音編碼對照表[台語音標], MATCH(TRUE, EXACT(RIME設定解析!$AA25, 注音編碼對照表[鍵盤按鍵] ),0))</f>
        <v>u</v>
      </c>
      <c r="AF25" s="204"/>
      <c r="AG25" s="364" t="str">
        <f t="shared" si="11"/>
        <v>"j" : "ㄨ",</v>
      </c>
      <c r="AH25" s="204"/>
      <c r="AI25" s="365" t="str">
        <f t="shared" si="12"/>
        <v>"j" : { commit: "ㄨ" }</v>
      </c>
      <c r="AJ25" s="2"/>
      <c r="AK25" s="399" t="str">
        <f t="shared" si="8"/>
        <v/>
      </c>
      <c r="AL25" s="402"/>
      <c r="AM25" s="211" t="s">
        <v>45</v>
      </c>
      <c r="AN25" s="2"/>
      <c r="AO25" s="231" t="str">
        <f xml:space="preserve"> """xlit|" &amp; AO26 &amp; "|" &amp; AO27 &amp; "|"""</f>
        <v>"xlit|pPbmtTnlzcsjZCSJkKgwhiuaOoeyxIUAQEYXRV@GDHMNWB¹|ㄅㄆㆠㄇㄉㄊㄋㄌㄗㄘㄙㆡㄐㄑㄒㆢㄍㄎㆣㄫㄏㄧㄨㄚㆦㄜㆤㄞㄠㆪㆫㆩㆧㆥㆮㆯㆨㆰㄢㄤㆱㆲㆬㄣㆭㄬˉ|"</v>
      </c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232"/>
      <c r="BE25" s="221"/>
      <c r="BH25" s="2"/>
    </row>
    <row r="26" spans="2:60" ht="32.25">
      <c r="B26" s="50" t="e">
        <f xml:space="preserve"> MID(B21,B23+1, B24-B23-1)</f>
        <v>#VALUE!</v>
      </c>
      <c r="C26" s="51" t="e">
        <f xml:space="preserve"> LEN(B26)</f>
        <v>#VALUE!</v>
      </c>
      <c r="H26" s="2">
        <f t="shared" si="9"/>
        <v>24</v>
      </c>
      <c r="I26" s="98" t="str">
        <f t="shared" si="0"/>
        <v>y</v>
      </c>
      <c r="J26" s="98" t="str">
        <f t="shared" si="1"/>
        <v>9</v>
      </c>
      <c r="L26" s="2">
        <v>24</v>
      </c>
      <c r="M26" s="21" t="str">
        <f t="shared" si="20"/>
        <v>8</v>
      </c>
      <c r="N26" s="21" t="str">
        <f t="shared" si="3"/>
        <v>ㄚ</v>
      </c>
      <c r="P26" s="2">
        <v>24</v>
      </c>
      <c r="Q26" s="22" t="str">
        <f t="shared" si="4"/>
        <v/>
      </c>
      <c r="R26" s="22" t="str">
        <f t="shared" si="5"/>
        <v/>
      </c>
      <c r="T26" s="2">
        <v>24</v>
      </c>
      <c r="U26" s="201" t="str">
        <f t="shared" si="6"/>
        <v>9</v>
      </c>
      <c r="V26" s="203" t="str">
        <f t="shared" si="7"/>
        <v>y</v>
      </c>
      <c r="W26" s="202" t="str" cm="1">
        <f t="array" ref="W26" xml:space="preserve"> INDEX(注音編碼對照表[台語ㄅㄆㄇ], MATCH(TRUE, EXACT(表格1_33411[[#This Row],[鍵盤按鍵]], 注音編碼對照表[鍵盤按鍵] ),0))</f>
        <v>ㄞ</v>
      </c>
      <c r="X26" s="204" t="str" cm="1">
        <f t="array" ref="X26" xml:space="preserve"> INDEX(注音編碼對照表!$G$3:$G$60, MATCH(TRUE, EXACT(表格1_33411[[#This Row],[注音編碼]], 注音編碼對照表!$E$3:$E$54), 0))</f>
        <v>ai</v>
      </c>
      <c r="Y26" s="24"/>
      <c r="Z26" s="77">
        <f t="shared" si="10"/>
        <v>24</v>
      </c>
      <c r="AA26" s="71" t="str">
        <f>使用按鍵解析!J34</f>
        <v>8</v>
      </c>
      <c r="AB26" s="192" t="str" cm="1">
        <f t="array" ref="AB26" xml:space="preserve"> INDEX(注音編碼對照表[注音編碼], MATCH(TRUE, EXACT(RIME設定解析!$AA26, 注音編碼對照表[鍵盤按鍵] ),0))</f>
        <v>a</v>
      </c>
      <c r="AC26" s="32" t="str" cm="1">
        <f t="array" ref="AC26" xml:space="preserve"> INDEX(注音編碼對照表[方音符號], MATCH(TRUE, EXACT(RIME設定解析!$AA26, 注音編碼對照表[鍵盤按鍵] ),0))</f>
        <v>ㄚ</v>
      </c>
      <c r="AD26" s="397" t="str" cm="1">
        <f t="array" ref="AD26" xml:space="preserve"> INDEX(注音編碼對照表[台語ㄅㄆㄇ], MATCH(TRUE, EXACT(RIME設定解析!$AA26, 注音編碼對照表[鍵盤按鍵] ),0))</f>
        <v>ㄚ</v>
      </c>
      <c r="AE26" s="264" t="str" cm="1">
        <f t="array" ref="AE26" xml:space="preserve"> INDEX(注音編碼對照表[台語音標], MATCH(TRUE, EXACT(RIME設定解析!$AA26, 注音編碼對照表[鍵盤按鍵] ),0))</f>
        <v>a</v>
      </c>
      <c r="AF26" s="204"/>
      <c r="AG26" s="364" t="str">
        <f t="shared" si="11"/>
        <v>"8" : "ㄚ",</v>
      </c>
      <c r="AH26" s="204"/>
      <c r="AI26" s="365" t="str">
        <f t="shared" si="12"/>
        <v>"8" : { commit: "ㄚ" }</v>
      </c>
      <c r="AJ26" s="2"/>
      <c r="AK26" s="399" t="str">
        <f t="shared" si="8"/>
        <v/>
      </c>
      <c r="AL26" s="402"/>
      <c r="AM26" s="212" t="s">
        <v>342</v>
      </c>
      <c r="AN26" s="1">
        <f xml:space="preserve"> LEN(AO26)</f>
        <v>47</v>
      </c>
      <c r="AO26" s="37" t="str">
        <f xml:space="preserve"> _xlfn.CONCAT(AB$3:AB$49)</f>
        <v>pPbmtTnlzcsjZCSJkKgwhiuaOoeyxIUAQEYXRV@GDHMNWB¹</v>
      </c>
      <c r="BB26" s="38" t="s">
        <v>25</v>
      </c>
      <c r="BC26" s="234" t="str">
        <f>BC9</f>
        <v>U</v>
      </c>
      <c r="BD26" s="40">
        <f xml:space="preserve"> FIND(BC26, AO26)</f>
        <v>31</v>
      </c>
      <c r="BE26" s="221"/>
      <c r="BH26" s="2"/>
    </row>
    <row r="27" spans="2:60" ht="32.25">
      <c r="H27" s="2">
        <f t="shared" si="9"/>
        <v>25</v>
      </c>
      <c r="I27" s="98" t="str">
        <f t="shared" si="0"/>
        <v>x</v>
      </c>
      <c r="J27" s="98" t="str">
        <f t="shared" si="1"/>
        <v>l</v>
      </c>
      <c r="L27" s="2">
        <v>25</v>
      </c>
      <c r="M27" s="21" t="str">
        <f t="shared" si="20"/>
        <v>i</v>
      </c>
      <c r="N27" s="21" t="str">
        <f t="shared" si="3"/>
        <v>ㆦ</v>
      </c>
      <c r="P27" s="2">
        <v>25</v>
      </c>
      <c r="Q27" s="22" t="str">
        <f t="shared" si="4"/>
        <v/>
      </c>
      <c r="R27" s="22" t="str">
        <f t="shared" si="5"/>
        <v/>
      </c>
      <c r="T27" s="2">
        <v>25</v>
      </c>
      <c r="U27" s="201" t="str">
        <f t="shared" si="6"/>
        <v>l</v>
      </c>
      <c r="V27" s="203" t="str">
        <f t="shared" si="7"/>
        <v>x</v>
      </c>
      <c r="W27" s="202" t="str" cm="1">
        <f t="array" ref="W27" xml:space="preserve"> INDEX(注音編碼對照表[台語ㄅㄆㄇ], MATCH(TRUE, EXACT(表格1_33411[[#This Row],[鍵盤按鍵]], 注音編碼對照表[鍵盤按鍵] ),0))</f>
        <v>ㄠ</v>
      </c>
      <c r="X27" s="204" t="str" cm="1">
        <f t="array" ref="X27" xml:space="preserve"> INDEX(注音編碼對照表!$G$3:$G$60, MATCH(TRUE, EXACT(表格1_33411[[#This Row],[注音編碼]], 注音編碼對照表!$E$3:$E$54), 0))</f>
        <v>au</v>
      </c>
      <c r="Y27" s="24"/>
      <c r="Z27" s="77">
        <f t="shared" si="10"/>
        <v>25</v>
      </c>
      <c r="AA27" s="71" t="str">
        <f>使用按鍵解析!J35</f>
        <v>i</v>
      </c>
      <c r="AB27" s="192" t="str" cm="1">
        <f t="array" ref="AB27" xml:space="preserve"> INDEX(注音編碼對照表[注音編碼], MATCH(TRUE, EXACT(RIME設定解析!$AA27, 注音編碼對照表[鍵盤按鍵] ),0))</f>
        <v>O</v>
      </c>
      <c r="AC27" s="32" t="str" cm="1">
        <f t="array" ref="AC27" xml:space="preserve"> INDEX(注音編碼對照表[方音符號], MATCH(TRUE, EXACT(RIME設定解析!$AA27, 注音編碼對照表[鍵盤按鍵] ),0))</f>
        <v>ㆦ</v>
      </c>
      <c r="AD27" s="397" t="str" cm="1">
        <f t="array" ref="AD27" xml:space="preserve"> INDEX(注音編碼對照表[台語ㄅㄆㄇ], MATCH(TRUE, EXACT(RIME設定解析!$AA27, 注音編碼對照表[鍵盤按鍵] ),0))</f>
        <v>ㆦ</v>
      </c>
      <c r="AE27" s="264" t="str" cm="1">
        <f t="array" ref="AE27" xml:space="preserve"> INDEX(注音編碼對照表[台語音標], MATCH(TRUE, EXACT(RIME設定解析!$AA27, 注音編碼對照表[鍵盤按鍵] ),0))</f>
        <v>oo</v>
      </c>
      <c r="AF27" s="204"/>
      <c r="AG27" s="364" t="str">
        <f t="shared" si="11"/>
        <v>"i" : "ㆦ",</v>
      </c>
      <c r="AH27" s="204"/>
      <c r="AI27" s="365" t="str">
        <f t="shared" si="12"/>
        <v>"i" : { commit: "ㆦ" }</v>
      </c>
      <c r="AJ27" s="2"/>
      <c r="AK27" s="399" t="str">
        <f t="shared" si="8"/>
        <v/>
      </c>
      <c r="AL27" s="402"/>
      <c r="AM27" s="215" t="s">
        <v>366</v>
      </c>
      <c r="AN27" s="1">
        <f xml:space="preserve"> LEN(AO27)</f>
        <v>47</v>
      </c>
      <c r="AO27" s="216" t="str">
        <f xml:space="preserve"> _xlfn.CONCAT(AC3:AC49)</f>
        <v>ㄅㄆㆠㄇㄉㄊㄋㄌㄗㄘㄙㆡㄐㄑㄒㆢㄍㄎㆣㄫㄏㄧㄨㄚㆦㄜㆤㄞㄠㆪㆫㆩㆧㆥㆮㆯㆨㆰㄢㄤㆱㆲㆬㄣㆭㄬˉ</v>
      </c>
      <c r="BC27" s="49" t="str">
        <f xml:space="preserve"> MID(AO27, BD26, 1)</f>
        <v>ㆫ</v>
      </c>
      <c r="BD27" s="40"/>
      <c r="BE27" s="221"/>
      <c r="BH27" s="2"/>
    </row>
    <row r="28" spans="2:60" ht="32.25">
      <c r="H28" s="2">
        <f t="shared" si="9"/>
        <v>26</v>
      </c>
      <c r="I28" s="98" t="str">
        <f t="shared" si="0"/>
        <v>@</v>
      </c>
      <c r="J28" s="98" t="str">
        <f t="shared" si="1"/>
        <v>0</v>
      </c>
      <c r="L28" s="2">
        <v>26</v>
      </c>
      <c r="M28" s="21" t="str">
        <f t="shared" si="20"/>
        <v>k</v>
      </c>
      <c r="N28" s="21" t="str">
        <f t="shared" si="3"/>
        <v>ㄜ</v>
      </c>
      <c r="P28" s="2">
        <v>26</v>
      </c>
      <c r="Q28" s="22" t="str">
        <f t="shared" si="4"/>
        <v/>
      </c>
      <c r="R28" s="22" t="str">
        <f t="shared" si="5"/>
        <v/>
      </c>
      <c r="T28" s="2">
        <v>26</v>
      </c>
      <c r="U28" s="201" t="str">
        <f t="shared" si="6"/>
        <v>0</v>
      </c>
      <c r="V28" s="203" t="str">
        <f t="shared" si="7"/>
        <v>@</v>
      </c>
      <c r="W28" s="202" t="str" cm="1">
        <f t="array" ref="W28" xml:space="preserve"> INDEX(注音編碼對照表[台語ㄅㄆㄇ], MATCH(TRUE, EXACT(表格1_33411[[#This Row],[鍵盤按鍵]], 注音編碼對照表[鍵盤按鍵] ),0))</f>
        <v>ㄢ</v>
      </c>
      <c r="X28" s="204" t="str" cm="1">
        <f t="array" ref="X28" xml:space="preserve"> INDEX(注音編碼對照表!$G$3:$G$60, MATCH(TRUE, EXACT(表格1_33411[[#This Row],[注音編碼]], 注音編碼對照表!$E$3:$E$54), 0))</f>
        <v>an</v>
      </c>
      <c r="Y28" s="24"/>
      <c r="Z28" s="77">
        <f t="shared" si="10"/>
        <v>26</v>
      </c>
      <c r="AA28" s="71" t="str">
        <f>使用按鍵解析!J36</f>
        <v>k</v>
      </c>
      <c r="AB28" s="192" t="str" cm="1">
        <f t="array" ref="AB28" xml:space="preserve"> INDEX(注音編碼對照表[注音編碼], MATCH(TRUE, EXACT(RIME設定解析!$AA28, 注音編碼對照表[鍵盤按鍵] ),0))</f>
        <v>o</v>
      </c>
      <c r="AC28" s="32" t="str" cm="1">
        <f t="array" ref="AC28" xml:space="preserve"> INDEX(注音編碼對照表[方音符號], MATCH(TRUE, EXACT(RIME設定解析!$AA28, 注音編碼對照表[鍵盤按鍵] ),0))</f>
        <v>ㄜ</v>
      </c>
      <c r="AD28" s="397" t="str" cm="1">
        <f t="array" ref="AD28" xml:space="preserve"> INDEX(注音編碼對照表[台語ㄅㄆㄇ], MATCH(TRUE, EXACT(RIME設定解析!$AA28, 注音編碼對照表[鍵盤按鍵] ),0))</f>
        <v>ㄜ</v>
      </c>
      <c r="AE28" s="264" t="str" cm="1">
        <f t="array" ref="AE28" xml:space="preserve"> INDEX(注音編碼對照表[台語音標], MATCH(TRUE, EXACT(RIME設定解析!$AA28, 注音編碼對照表[鍵盤按鍵] ),0))</f>
        <v>o</v>
      </c>
      <c r="AF28" s="204"/>
      <c r="AG28" s="364" t="str">
        <f t="shared" si="11"/>
        <v>"k" : "ㄜ",</v>
      </c>
      <c r="AH28" s="204"/>
      <c r="AI28" s="365" t="str">
        <f t="shared" si="12"/>
        <v>"k" : { commit: "ㄜ" }</v>
      </c>
      <c r="AJ28" s="2"/>
      <c r="AK28" s="399" t="str">
        <f t="shared" si="8"/>
        <v/>
      </c>
      <c r="AL28" s="402"/>
      <c r="AM28" s="210"/>
      <c r="AN28" s="2"/>
      <c r="BC28" s="11"/>
      <c r="BE28" s="221"/>
      <c r="BH28" s="2"/>
    </row>
    <row r="29" spans="2:60" ht="32.25">
      <c r="H29" s="2">
        <f t="shared" si="9"/>
        <v>27</v>
      </c>
      <c r="I29" s="98" t="str">
        <f t="shared" si="0"/>
        <v>G</v>
      </c>
      <c r="J29" s="98" t="str">
        <f t="shared" si="1"/>
        <v>;</v>
      </c>
      <c r="L29" s="2">
        <v>27</v>
      </c>
      <c r="M29" s="21" t="str">
        <f t="shared" si="20"/>
        <v>,</v>
      </c>
      <c r="N29" s="21" t="str">
        <f t="shared" si="3"/>
        <v>ㆤ</v>
      </c>
      <c r="P29" s="2">
        <v>27</v>
      </c>
      <c r="Q29" s="22" t="str">
        <f t="shared" si="4"/>
        <v/>
      </c>
      <c r="R29" s="22" t="str">
        <f t="shared" si="5"/>
        <v/>
      </c>
      <c r="T29" s="2">
        <v>27</v>
      </c>
      <c r="U29" s="201" t="str">
        <f t="shared" si="6"/>
        <v>;</v>
      </c>
      <c r="V29" s="203" t="str">
        <f t="shared" si="7"/>
        <v>G</v>
      </c>
      <c r="W29" s="202" t="str" cm="1">
        <f t="array" ref="W29" xml:space="preserve"> INDEX(注音編碼對照表[台語ㄅㄆㄇ], MATCH(TRUE, EXACT(表格1_33411[[#This Row],[鍵盤按鍵]], 注音編碼對照表[鍵盤按鍵] ),0))</f>
        <v>ㄤ</v>
      </c>
      <c r="X29" s="204" t="str" cm="1">
        <f t="array" ref="X29" xml:space="preserve"> INDEX(注音編碼對照表!$G$3:$G$60, MATCH(TRUE, EXACT(表格1_33411[[#This Row],[注音編碼]], 注音編碼對照表!$E$3:$E$54), 0))</f>
        <v>ang</v>
      </c>
      <c r="Y29" s="24"/>
      <c r="Z29" s="77">
        <f t="shared" si="10"/>
        <v>27</v>
      </c>
      <c r="AA29" s="71" t="str">
        <f>使用按鍵解析!J37</f>
        <v>,</v>
      </c>
      <c r="AB29" s="192" t="str" cm="1">
        <f t="array" ref="AB29" xml:space="preserve"> INDEX(注音編碼對照表[注音編碼], MATCH(TRUE, EXACT(RIME設定解析!$AA29, 注音編碼對照表[鍵盤按鍵] ),0))</f>
        <v>e</v>
      </c>
      <c r="AC29" s="32" t="str" cm="1">
        <f t="array" ref="AC29" xml:space="preserve"> INDEX(注音編碼對照表[方音符號], MATCH(TRUE, EXACT(RIME設定解析!$AA29, 注音編碼對照表[鍵盤按鍵] ),0))</f>
        <v>ㆤ</v>
      </c>
      <c r="AD29" s="397" t="str" cm="1">
        <f t="array" ref="AD29" xml:space="preserve"> INDEX(注音編碼對照表[台語ㄅㄆㄇ], MATCH(TRUE, EXACT(RIME設定解析!$AA29, 注音編碼對照表[鍵盤按鍵] ),0))</f>
        <v>ㆤ</v>
      </c>
      <c r="AE29" s="264" t="str" cm="1">
        <f t="array" ref="AE29" xml:space="preserve"> INDEX(注音編碼對照表[台語音標], MATCH(TRUE, EXACT(RIME設定解析!$AA29, 注音編碼對照表[鍵盤按鍵] ),0))</f>
        <v>e</v>
      </c>
      <c r="AF29" s="204"/>
      <c r="AG29" s="364" t="str">
        <f t="shared" si="11"/>
        <v>"," : "ㆤ",</v>
      </c>
      <c r="AH29" s="204"/>
      <c r="AI29" s="365" t="str">
        <f t="shared" si="12"/>
        <v>"," : { commit: "ㆤ" }</v>
      </c>
      <c r="AJ29" s="2"/>
      <c r="AK29" s="399" t="str">
        <f t="shared" si="8"/>
        <v/>
      </c>
      <c r="AL29" s="402"/>
      <c r="AM29" s="210"/>
      <c r="AN29" s="2"/>
      <c r="BC29" s="11"/>
      <c r="BE29" s="221"/>
      <c r="BH29" s="2"/>
    </row>
    <row r="30" spans="2:60" ht="32.25">
      <c r="H30" s="2">
        <f t="shared" si="9"/>
        <v>28</v>
      </c>
      <c r="I30" s="98" t="str">
        <f t="shared" si="0"/>
        <v>R</v>
      </c>
      <c r="J30" s="98" t="str">
        <f t="shared" si="1"/>
        <v>-</v>
      </c>
      <c r="L30" s="2">
        <v>28</v>
      </c>
      <c r="M30" s="21" t="str">
        <f t="shared" si="20"/>
        <v>9</v>
      </c>
      <c r="N30" s="21" t="str">
        <f t="shared" si="3"/>
        <v>ㄞ</v>
      </c>
      <c r="P30" s="2">
        <v>28</v>
      </c>
      <c r="Q30" s="22" t="str">
        <f t="shared" si="4"/>
        <v/>
      </c>
      <c r="R30" s="22" t="str">
        <f t="shared" si="5"/>
        <v/>
      </c>
      <c r="T30" s="2">
        <v>28</v>
      </c>
      <c r="U30" s="201" t="str">
        <f t="shared" si="6"/>
        <v>-</v>
      </c>
      <c r="V30" s="203" t="str">
        <f t="shared" si="7"/>
        <v>R</v>
      </c>
      <c r="W30" s="202" t="str" cm="1">
        <f t="array" ref="W30" xml:space="preserve"> INDEX(注音編碼對照表[台語ㄅㄆㄇ], MATCH(TRUE, EXACT(表格1_33411[[#This Row],[鍵盤按鍵]], 注音編碼對照表[鍵盤按鍵] ),0))</f>
        <v>ㄦ</v>
      </c>
      <c r="X30" s="204" t="str" cm="1">
        <f t="array" ref="X30" xml:space="preserve"> INDEX(注音編碼對照表!$G$3:$G$60, MATCH(TRUE, EXACT(表格1_33411[[#This Row],[注音編碼]], 注音編碼對照表!$E$3:$E$54), 0))</f>
        <v>ir</v>
      </c>
      <c r="Y30" s="24"/>
      <c r="Z30" s="77">
        <f t="shared" si="10"/>
        <v>28</v>
      </c>
      <c r="AA30" s="71" t="str">
        <f>使用按鍵解析!J38</f>
        <v>9</v>
      </c>
      <c r="AB30" s="192" t="str" cm="1">
        <f t="array" ref="AB30" xml:space="preserve"> INDEX(注音編碼對照表[注音編碼], MATCH(TRUE, EXACT(RIME設定解析!$AA30, 注音編碼對照表[鍵盤按鍵] ),0))</f>
        <v>y</v>
      </c>
      <c r="AC30" s="32" t="str" cm="1">
        <f t="array" ref="AC30" xml:space="preserve"> INDEX(注音編碼對照表[方音符號], MATCH(TRUE, EXACT(RIME設定解析!$AA30, 注音編碼對照表[鍵盤按鍵] ),0))</f>
        <v>ㄞ</v>
      </c>
      <c r="AD30" s="397" t="str" cm="1">
        <f t="array" ref="AD30" xml:space="preserve"> INDEX(注音編碼對照表[台語ㄅㄆㄇ], MATCH(TRUE, EXACT(RIME設定解析!$AA30, 注音編碼對照表[鍵盤按鍵] ),0))</f>
        <v>ㄞ</v>
      </c>
      <c r="AE30" s="264" t="str" cm="1">
        <f t="array" ref="AE30" xml:space="preserve"> INDEX(注音編碼對照表[台語音標], MATCH(TRUE, EXACT(RIME設定解析!$AA30, 注音編碼對照表[鍵盤按鍵] ),0))</f>
        <v>ai</v>
      </c>
      <c r="AF30" s="204"/>
      <c r="AG30" s="364" t="str">
        <f t="shared" si="11"/>
        <v>"9" : "ㄞ",</v>
      </c>
      <c r="AH30" s="204"/>
      <c r="AI30" s="365" t="str">
        <f t="shared" si="12"/>
        <v>"9" : { commit: "ㄞ" }</v>
      </c>
      <c r="AJ30" s="2"/>
      <c r="AK30" s="399" t="str">
        <f t="shared" si="8"/>
        <v/>
      </c>
      <c r="AL30" s="402"/>
      <c r="AM30" s="210"/>
      <c r="AN30" s="2"/>
      <c r="BC30" s="11"/>
      <c r="BE30" s="221"/>
      <c r="BH30" s="2"/>
    </row>
    <row r="31" spans="2:60" ht="32.25">
      <c r="H31" s="2">
        <f t="shared" si="9"/>
        <v>29</v>
      </c>
      <c r="I31" s="98" t="str">
        <f t="shared" si="0"/>
        <v>I</v>
      </c>
      <c r="J31" s="98" t="str">
        <f t="shared" si="1"/>
        <v>U</v>
      </c>
      <c r="L31" s="2">
        <v>29</v>
      </c>
      <c r="M31" s="21" t="str">
        <f t="shared" si="20"/>
        <v>l</v>
      </c>
      <c r="N31" s="21" t="str">
        <f t="shared" si="3"/>
        <v>ㄠ</v>
      </c>
      <c r="P31" s="2">
        <v>29</v>
      </c>
      <c r="Q31" s="22" t="str">
        <f t="shared" si="4"/>
        <v/>
      </c>
      <c r="R31" s="22" t="str">
        <f t="shared" si="5"/>
        <v/>
      </c>
      <c r="T31" s="2">
        <v>29</v>
      </c>
      <c r="U31" s="201" t="str">
        <f t="shared" si="6"/>
        <v>U</v>
      </c>
      <c r="V31" s="203" t="str">
        <f t="shared" si="7"/>
        <v>I</v>
      </c>
      <c r="W31" s="202" t="str" cm="1">
        <f t="array" ref="W31" xml:space="preserve"> INDEX(注音編碼對照表[台語ㄅㄆㄇ], MATCH(TRUE, EXACT(表格1_33411[[#This Row],[鍵盤按鍵]], 注音編碼對照表[鍵盤按鍵] ),0))</f>
        <v>ㆪ</v>
      </c>
      <c r="X31" s="204" t="str" cm="1">
        <f t="array" ref="X31" xml:space="preserve"> INDEX(注音編碼對照表!$G$3:$G$60, MATCH(TRUE, EXACT(表格1_33411[[#This Row],[注音編碼]], 注音編碼對照表!$E$3:$E$54), 0))</f>
        <v>inn</v>
      </c>
      <c r="Y31" s="24"/>
      <c r="Z31" s="77">
        <f t="shared" si="10"/>
        <v>29</v>
      </c>
      <c r="AA31" s="71" t="str">
        <f>使用按鍵解析!J39</f>
        <v>l</v>
      </c>
      <c r="AB31" s="192" t="str" cm="1">
        <f t="array" ref="AB31" xml:space="preserve"> INDEX(注音編碼對照表[注音編碼], MATCH(TRUE, EXACT(RIME設定解析!$AA31, 注音編碼對照表[鍵盤按鍵] ),0))</f>
        <v>x</v>
      </c>
      <c r="AC31" s="32" t="str" cm="1">
        <f t="array" ref="AC31" xml:space="preserve"> INDEX(注音編碼對照表[方音符號], MATCH(TRUE, EXACT(RIME設定解析!$AA31, 注音編碼對照表[鍵盤按鍵] ),0))</f>
        <v>ㄠ</v>
      </c>
      <c r="AD31" s="397" t="str" cm="1">
        <f t="array" ref="AD31" xml:space="preserve"> INDEX(注音編碼對照表[台語ㄅㄆㄇ], MATCH(TRUE, EXACT(RIME設定解析!$AA31, 注音編碼對照表[鍵盤按鍵] ),0))</f>
        <v>ㄠ</v>
      </c>
      <c r="AE31" s="264" t="str" cm="1">
        <f t="array" ref="AE31" xml:space="preserve"> INDEX(注音編碼對照表[台語音標], MATCH(TRUE, EXACT(RIME設定解析!$AA31, 注音編碼對照表[鍵盤按鍵] ),0))</f>
        <v>au</v>
      </c>
      <c r="AF31" s="204"/>
      <c r="AG31" s="364" t="str">
        <f t="shared" si="11"/>
        <v>"l" : "ㄠ",</v>
      </c>
      <c r="AH31" s="204"/>
      <c r="AI31" s="365" t="str">
        <f t="shared" si="12"/>
        <v>"l" : { commit: "ㄠ" }</v>
      </c>
      <c r="AJ31" s="2"/>
      <c r="AK31" s="399" t="str">
        <f t="shared" si="8"/>
        <v/>
      </c>
      <c r="AL31" s="402"/>
      <c r="AM31" s="210"/>
      <c r="AN31" s="2"/>
      <c r="BC31" s="11"/>
      <c r="BE31" s="221"/>
      <c r="BH31" s="2"/>
    </row>
    <row r="32" spans="2:60" ht="32.25">
      <c r="H32" s="2">
        <f t="shared" si="9"/>
        <v>30</v>
      </c>
      <c r="I32" s="98" t="str">
        <f t="shared" si="0"/>
        <v>U</v>
      </c>
      <c r="J32" s="98" t="str">
        <f t="shared" si="1"/>
        <v>J</v>
      </c>
      <c r="L32" s="2">
        <v>30</v>
      </c>
      <c r="M32" s="21" t="str">
        <f t="shared" si="20"/>
        <v>U</v>
      </c>
      <c r="N32" s="21" t="str">
        <f t="shared" si="3"/>
        <v>ㆪ</v>
      </c>
      <c r="P32" s="2">
        <v>30</v>
      </c>
      <c r="Q32" s="22" t="str">
        <f t="shared" si="4"/>
        <v/>
      </c>
      <c r="R32" s="22" t="str">
        <f t="shared" si="5"/>
        <v/>
      </c>
      <c r="T32" s="2">
        <v>30</v>
      </c>
      <c r="U32" s="201" t="str">
        <f t="shared" si="6"/>
        <v>J</v>
      </c>
      <c r="V32" s="203" t="str">
        <f t="shared" si="7"/>
        <v>U</v>
      </c>
      <c r="W32" s="202" t="str" cm="1">
        <f t="array" ref="W32" xml:space="preserve"> INDEX(注音編碼對照表[台語ㄅㄆㄇ], MATCH(TRUE, EXACT(表格1_33411[[#This Row],[鍵盤按鍵]], 注音編碼對照表[鍵盤按鍵] ),0))</f>
        <v>ㆫ</v>
      </c>
      <c r="X32" s="204" t="str" cm="1">
        <f t="array" ref="X32" xml:space="preserve"> INDEX(注音編碼對照表!$G$3:$G$60, MATCH(TRUE, EXACT(表格1_33411[[#This Row],[注音編碼]], 注音編碼對照表!$E$3:$E$54), 0))</f>
        <v>unn</v>
      </c>
      <c r="Y32" s="24"/>
      <c r="Z32" s="77">
        <f t="shared" si="10"/>
        <v>30</v>
      </c>
      <c r="AA32" s="71" t="str">
        <f>使用按鍵解析!J40</f>
        <v>U</v>
      </c>
      <c r="AB32" s="192" t="str" cm="1">
        <f t="array" ref="AB32" xml:space="preserve"> INDEX(注音編碼對照表[注音編碼], MATCH(TRUE, EXACT(RIME設定解析!$AA32, 注音編碼對照表[鍵盤按鍵] ),0))</f>
        <v>I</v>
      </c>
      <c r="AC32" s="32" t="str" cm="1">
        <f t="array" ref="AC32" xml:space="preserve"> INDEX(注音編碼對照表[方音符號], MATCH(TRUE, EXACT(RIME設定解析!$AA32, 注音編碼對照表[鍵盤按鍵] ),0))</f>
        <v>ㆪ</v>
      </c>
      <c r="AD32" s="397" t="str" cm="1">
        <f t="array" ref="AD32" xml:space="preserve"> INDEX(注音編碼對照表[台語ㄅㄆㄇ], MATCH(TRUE, EXACT(RIME設定解析!$AA32, 注音編碼對照表[鍵盤按鍵] ),0))</f>
        <v>ㆪ</v>
      </c>
      <c r="AE32" s="264" t="str" cm="1">
        <f t="array" ref="AE32" xml:space="preserve"> INDEX(注音編碼對照表[台語音標], MATCH(TRUE, EXACT(RIME設定解析!$AA32, 注音編碼對照表[鍵盤按鍵] ),0))</f>
        <v>inn</v>
      </c>
      <c r="AF32" s="204"/>
      <c r="AG32" s="364" t="str">
        <f t="shared" si="11"/>
        <v>"U" : "ㆪ",</v>
      </c>
      <c r="AH32" s="204"/>
      <c r="AI32" s="365" t="str">
        <f t="shared" si="12"/>
        <v>"U" : { commit: "ㆪ" }</v>
      </c>
      <c r="AJ32" s="2"/>
      <c r="AK32" s="399" t="str">
        <f t="shared" si="8"/>
        <v/>
      </c>
      <c r="AL32" s="402"/>
      <c r="AM32" s="210"/>
      <c r="BC32" s="11"/>
      <c r="BE32" s="221"/>
      <c r="BH32" s="2"/>
    </row>
    <row r="33" spans="2:60" ht="32.25">
      <c r="H33" s="2">
        <f t="shared" si="9"/>
        <v>31</v>
      </c>
      <c r="I33" s="98" t="str">
        <f t="shared" si="0"/>
        <v>A</v>
      </c>
      <c r="J33" s="98" t="str">
        <f t="shared" si="1"/>
        <v>*</v>
      </c>
      <c r="L33" s="2">
        <v>31</v>
      </c>
      <c r="M33" s="21" t="str">
        <f t="shared" si="20"/>
        <v>J</v>
      </c>
      <c r="N33" s="21" t="str">
        <f t="shared" si="3"/>
        <v>ㆫ</v>
      </c>
      <c r="P33" s="2">
        <v>31</v>
      </c>
      <c r="Q33" s="22" t="str">
        <f t="shared" si="4"/>
        <v/>
      </c>
      <c r="R33" s="22" t="str">
        <f t="shared" si="5"/>
        <v/>
      </c>
      <c r="T33" s="2">
        <v>31</v>
      </c>
      <c r="U33" s="201" t="str">
        <f t="shared" si="6"/>
        <v>*</v>
      </c>
      <c r="V33" s="203" t="str">
        <f t="shared" si="7"/>
        <v>A</v>
      </c>
      <c r="W33" s="202" t="str" cm="1">
        <f t="array" ref="W33" xml:space="preserve"> INDEX(注音編碼對照表[台語ㄅㄆㄇ], MATCH(TRUE, EXACT(表格1_33411[[#This Row],[鍵盤按鍵]], 注音編碼對照表[鍵盤按鍵] ),0))</f>
        <v>ㆩ</v>
      </c>
      <c r="X33" s="204" t="str" cm="1">
        <f t="array" ref="X33" xml:space="preserve"> INDEX(注音編碼對照表!$G$3:$G$60, MATCH(TRUE, EXACT(表格1_33411[[#This Row],[注音編碼]], 注音編碼對照表!$E$3:$E$54), 0))</f>
        <v>ann</v>
      </c>
      <c r="Y33" s="24"/>
      <c r="Z33" s="77">
        <f t="shared" si="10"/>
        <v>31</v>
      </c>
      <c r="AA33" s="71" t="str">
        <f>使用按鍵解析!J41</f>
        <v>J</v>
      </c>
      <c r="AB33" s="192" t="str" cm="1">
        <f t="array" ref="AB33" xml:space="preserve"> INDEX(注音編碼對照表[注音編碼], MATCH(TRUE, EXACT(RIME設定解析!$AA33, 注音編碼對照表[鍵盤按鍵] ),0))</f>
        <v>U</v>
      </c>
      <c r="AC33" s="32" t="str" cm="1">
        <f t="array" ref="AC33" xml:space="preserve"> INDEX(注音編碼對照表[方音符號], MATCH(TRUE, EXACT(RIME設定解析!$AA33, 注音編碼對照表[鍵盤按鍵] ),0))</f>
        <v>ㆫ</v>
      </c>
      <c r="AD33" s="397" t="str" cm="1">
        <f t="array" ref="AD33" xml:space="preserve"> INDEX(注音編碼對照表[台語ㄅㄆㄇ], MATCH(TRUE, EXACT(RIME設定解析!$AA33, 注音編碼對照表[鍵盤按鍵] ),0))</f>
        <v>ㆫ</v>
      </c>
      <c r="AE33" s="264" t="str" cm="1">
        <f t="array" ref="AE33" xml:space="preserve"> INDEX(注音編碼對照表[台語音標], MATCH(TRUE, EXACT(RIME設定解析!$AA33, 注音編碼對照表[鍵盤按鍵] ),0))</f>
        <v>unn</v>
      </c>
      <c r="AF33" s="204"/>
      <c r="AG33" s="364" t="str">
        <f t="shared" si="11"/>
        <v>"J" : "ㆫ",</v>
      </c>
      <c r="AH33" s="204"/>
      <c r="AI33" s="365" t="str">
        <f t="shared" si="12"/>
        <v>"J" : { commit: "ㆫ" }</v>
      </c>
      <c r="AJ33" s="2"/>
      <c r="AK33" s="399" t="str">
        <f t="shared" si="8"/>
        <v/>
      </c>
      <c r="AL33" s="402"/>
      <c r="AM33" s="210"/>
      <c r="AN33" s="2"/>
      <c r="BC33" s="11"/>
      <c r="BE33" s="221"/>
      <c r="BH33" s="2"/>
    </row>
    <row r="34" spans="2:60" ht="32.25">
      <c r="H34" s="2">
        <f t="shared" si="9"/>
        <v>32</v>
      </c>
      <c r="I34" s="98" t="str">
        <f t="shared" si="0"/>
        <v>Q</v>
      </c>
      <c r="J34" s="98" t="str">
        <f t="shared" si="1"/>
        <v>I</v>
      </c>
      <c r="L34" s="2">
        <v>32</v>
      </c>
      <c r="M34" s="21" t="str">
        <f t="shared" si="20"/>
        <v>*</v>
      </c>
      <c r="N34" s="21" t="str">
        <f t="shared" si="3"/>
        <v>ㆩ</v>
      </c>
      <c r="P34" s="2">
        <v>32</v>
      </c>
      <c r="Q34" s="22" t="str">
        <f t="shared" si="4"/>
        <v/>
      </c>
      <c r="R34" s="22" t="str">
        <f t="shared" si="5"/>
        <v/>
      </c>
      <c r="T34" s="2">
        <v>32</v>
      </c>
      <c r="U34" s="201" t="str">
        <f t="shared" si="6"/>
        <v>I</v>
      </c>
      <c r="V34" s="203" t="str">
        <f t="shared" si="7"/>
        <v>Q</v>
      </c>
      <c r="W34" s="202" t="str" cm="1">
        <f t="array" ref="W34" xml:space="preserve"> INDEX(注音編碼對照表[台語ㄅㄆㄇ], MATCH(TRUE, EXACT(表格1_33411[[#This Row],[鍵盤按鍵]], 注音編碼對照表[鍵盤按鍵] ),0))</f>
        <v>ㆧ</v>
      </c>
      <c r="X34" s="204" t="str" cm="1">
        <f t="array" ref="X34" xml:space="preserve"> INDEX(注音編碼對照表!$G$3:$G$60, MATCH(TRUE, EXACT(表格1_33411[[#This Row],[注音編碼]], 注音編碼對照表!$E$3:$E$54), 0))</f>
        <v>onn</v>
      </c>
      <c r="Y34" s="24"/>
      <c r="Z34" s="77">
        <f t="shared" si="10"/>
        <v>32</v>
      </c>
      <c r="AA34" s="71" t="str">
        <f>使用按鍵解析!J42</f>
        <v>*</v>
      </c>
      <c r="AB34" s="192" t="str" cm="1">
        <f t="array" ref="AB34" xml:space="preserve"> INDEX(注音編碼對照表[注音編碼], MATCH(TRUE, EXACT(RIME設定解析!$AA34, 注音編碼對照表[鍵盤按鍵] ),0))</f>
        <v>A</v>
      </c>
      <c r="AC34" s="32" t="str" cm="1">
        <f t="array" ref="AC34" xml:space="preserve"> INDEX(注音編碼對照表[方音符號], MATCH(TRUE, EXACT(RIME設定解析!$AA34, 注音編碼對照表[鍵盤按鍵] ),0))</f>
        <v>ㆩ</v>
      </c>
      <c r="AD34" s="397" t="str" cm="1">
        <f t="array" ref="AD34" xml:space="preserve"> INDEX(注音編碼對照表[台語ㄅㄆㄇ], MATCH(TRUE, EXACT(RIME設定解析!$AA34, 注音編碼對照表[鍵盤按鍵] ),0))</f>
        <v>ㆩ</v>
      </c>
      <c r="AE34" s="264" t="str" cm="1">
        <f t="array" ref="AE34" xml:space="preserve"> INDEX(注音編碼對照表[台語音標], MATCH(TRUE, EXACT(RIME設定解析!$AA34, 注音編碼對照表[鍵盤按鍵] ),0))</f>
        <v>ann</v>
      </c>
      <c r="AF34" s="204"/>
      <c r="AG34" s="364" t="str">
        <f t="shared" si="11"/>
        <v>"*" : "ㆩ",</v>
      </c>
      <c r="AH34" s="204"/>
      <c r="AI34" s="365" t="str">
        <f t="shared" si="12"/>
        <v>"*" : { commit: "ㆩ" }</v>
      </c>
      <c r="AJ34" s="2"/>
      <c r="AK34" s="399" t="str">
        <f t="shared" si="8"/>
        <v/>
      </c>
      <c r="AL34" s="402"/>
      <c r="AM34" s="210"/>
      <c r="AN34" s="2"/>
      <c r="BC34" s="11"/>
      <c r="BE34" s="221"/>
      <c r="BH34" s="2"/>
    </row>
    <row r="35" spans="2:60" ht="32.25">
      <c r="H35" s="2">
        <f t="shared" si="9"/>
        <v>33</v>
      </c>
      <c r="I35" s="98" t="str">
        <f t="shared" ref="I35:I49" si="21" xml:space="preserve"> IFERROR( MID($B$6, $H35, 1), "")</f>
        <v>E</v>
      </c>
      <c r="J35" s="98" t="str">
        <f t="shared" ref="J35:J49" si="22" xml:space="preserve"> IFERROR( MID($B$7, $H35, 1), "")</f>
        <v>&lt;</v>
      </c>
      <c r="L35" s="2">
        <v>33</v>
      </c>
      <c r="M35" s="21" t="str">
        <f t="shared" si="20"/>
        <v>I</v>
      </c>
      <c r="N35" s="21" t="str">
        <f t="shared" ref="N35:N48" si="23" xml:space="preserve"> IFERROR( MID($B$16, $H35, 1), "")</f>
        <v>ㆧ</v>
      </c>
      <c r="P35" s="2">
        <v>33</v>
      </c>
      <c r="Q35" s="22" t="str">
        <f t="shared" si="4"/>
        <v/>
      </c>
      <c r="R35" s="22" t="str">
        <f t="shared" si="5"/>
        <v/>
      </c>
      <c r="T35" s="2">
        <v>33</v>
      </c>
      <c r="U35" s="201" t="str">
        <f t="shared" ref="U35:U49" si="24" xml:space="preserve"> J35</f>
        <v>&lt;</v>
      </c>
      <c r="V35" s="203" t="str">
        <f t="shared" ref="V35:V49" si="25">I35</f>
        <v>E</v>
      </c>
      <c r="W35" s="202" t="str" cm="1">
        <f t="array" ref="W35" xml:space="preserve"> INDEX(注音編碼對照表[台語ㄅㄆㄇ], MATCH(TRUE, EXACT(表格1_33411[[#This Row],[鍵盤按鍵]], 注音編碼對照表[鍵盤按鍵] ),0))</f>
        <v>ㆥ</v>
      </c>
      <c r="X35" s="204" t="str" cm="1">
        <f t="array" ref="X35" xml:space="preserve"> INDEX(注音編碼對照表!$G$3:$G$60, MATCH(TRUE, EXACT(表格1_33411[[#This Row],[注音編碼]], 注音編碼對照表!$E$3:$E$54), 0))</f>
        <v>enn</v>
      </c>
      <c r="Y35" s="24"/>
      <c r="Z35" s="77">
        <f t="shared" si="10"/>
        <v>33</v>
      </c>
      <c r="AA35" s="71" t="str">
        <f>使用按鍵解析!J43</f>
        <v>I</v>
      </c>
      <c r="AB35" s="192" t="str" cm="1">
        <f t="array" ref="AB35" xml:space="preserve"> INDEX(注音編碼對照表[注音編碼], MATCH(TRUE, EXACT(RIME設定解析!$AA35, 注音編碼對照表[鍵盤按鍵] ),0))</f>
        <v>Q</v>
      </c>
      <c r="AC35" s="32" t="str" cm="1">
        <f t="array" ref="AC35" xml:space="preserve"> INDEX(注音編碼對照表[方音符號], MATCH(TRUE, EXACT(RIME設定解析!$AA35, 注音編碼對照表[鍵盤按鍵] ),0))</f>
        <v>ㆧ</v>
      </c>
      <c r="AD35" s="397" t="str" cm="1">
        <f t="array" ref="AD35" xml:space="preserve"> INDEX(注音編碼對照表[台語ㄅㄆㄇ], MATCH(TRUE, EXACT(RIME設定解析!$AA35, 注音編碼對照表[鍵盤按鍵] ),0))</f>
        <v>ㆧ</v>
      </c>
      <c r="AE35" s="264" t="str" cm="1">
        <f t="array" ref="AE35" xml:space="preserve"> INDEX(注音編碼對照表[台語音標], MATCH(TRUE, EXACT(RIME設定解析!$AA35, 注音編碼對照表[鍵盤按鍵] ),0))</f>
        <v>onn</v>
      </c>
      <c r="AF35" s="204"/>
      <c r="AG35" s="364" t="str">
        <f t="shared" si="11"/>
        <v>"I" : "ㆧ",</v>
      </c>
      <c r="AH35" s="204"/>
      <c r="AI35" s="365" t="str">
        <f t="shared" si="12"/>
        <v>"I" : { commit: "ㆧ" }</v>
      </c>
      <c r="AJ35" s="2"/>
      <c r="AK35" s="399" t="str">
        <f t="shared" si="8"/>
        <v/>
      </c>
      <c r="AL35" s="402"/>
      <c r="AM35" s="210" t="str">
        <f t="shared" ref="AM35:AM39" si="26" xml:space="preserve"> IF(LEN(AC35)=LEN(AD35), "", _xlfn.CONCAT( "xform/", AC35, "/", AD35, "/"))</f>
        <v/>
      </c>
      <c r="AN35" s="2"/>
      <c r="BC35" s="11"/>
      <c r="BE35" s="221"/>
      <c r="BH35" s="2"/>
    </row>
    <row r="36" spans="2:60" ht="32.25">
      <c r="H36" s="2">
        <f t="shared" si="9"/>
        <v>34</v>
      </c>
      <c r="I36" s="98" t="str">
        <f t="shared" si="21"/>
        <v>Y</v>
      </c>
      <c r="J36" s="98" t="str">
        <f t="shared" si="22"/>
        <v>(</v>
      </c>
      <c r="L36" s="2">
        <v>34</v>
      </c>
      <c r="M36" s="21" t="str">
        <f t="shared" si="20"/>
        <v>&lt;</v>
      </c>
      <c r="N36" s="21" t="str">
        <f t="shared" si="23"/>
        <v>ㆥ</v>
      </c>
      <c r="P36" s="2">
        <v>34</v>
      </c>
      <c r="Q36" s="22" t="str">
        <f t="shared" si="4"/>
        <v/>
      </c>
      <c r="R36" s="22" t="str">
        <f t="shared" si="5"/>
        <v/>
      </c>
      <c r="T36" s="2">
        <v>34</v>
      </c>
      <c r="U36" s="201" t="str">
        <f t="shared" si="24"/>
        <v>(</v>
      </c>
      <c r="V36" s="203" t="str">
        <f t="shared" si="25"/>
        <v>Y</v>
      </c>
      <c r="W36" s="202" t="str" cm="1">
        <f t="array" ref="W36" xml:space="preserve"> INDEX(注音編碼對照表[台語ㄅㄆㄇ], MATCH(TRUE, EXACT(表格1_33411[[#This Row],[鍵盤按鍵]], 注音編碼對照表[鍵盤按鍵] ),0))</f>
        <v>ㆮ</v>
      </c>
      <c r="X36" s="204" t="str" cm="1">
        <f t="array" ref="X36" xml:space="preserve"> INDEX(注音編碼對照表!$G$3:$G$60, MATCH(TRUE, EXACT(表格1_33411[[#This Row],[注音編碼]], 注音編碼對照表!$E$3:$E$54), 0))</f>
        <v>ainn</v>
      </c>
      <c r="Y36" s="24"/>
      <c r="Z36" s="77">
        <f t="shared" si="10"/>
        <v>34</v>
      </c>
      <c r="AA36" s="71" t="str">
        <f>使用按鍵解析!J44</f>
        <v>&lt;</v>
      </c>
      <c r="AB36" s="192" t="str" cm="1">
        <f t="array" ref="AB36" xml:space="preserve"> INDEX(注音編碼對照表[注音編碼], MATCH(TRUE, EXACT(RIME設定解析!$AA36, 注音編碼對照表[鍵盤按鍵] ),0))</f>
        <v>E</v>
      </c>
      <c r="AC36" s="32" t="str" cm="1">
        <f t="array" ref="AC36" xml:space="preserve"> INDEX(注音編碼對照表[方音符號], MATCH(TRUE, EXACT(RIME設定解析!$AA36, 注音編碼對照表[鍵盤按鍵] ),0))</f>
        <v>ㆥ</v>
      </c>
      <c r="AD36" s="397" t="str" cm="1">
        <f t="array" ref="AD36" xml:space="preserve"> INDEX(注音編碼對照表[台語ㄅㄆㄇ], MATCH(TRUE, EXACT(RIME設定解析!$AA36, 注音編碼對照表[鍵盤按鍵] ),0))</f>
        <v>ㆥ</v>
      </c>
      <c r="AE36" s="264" t="str" cm="1">
        <f t="array" ref="AE36" xml:space="preserve"> INDEX(注音編碼對照表[台語音標], MATCH(TRUE, EXACT(RIME設定解析!$AA36, 注音編碼對照表[鍵盤按鍵] ),0))</f>
        <v>enn</v>
      </c>
      <c r="AF36" s="204"/>
      <c r="AG36" s="364" t="str">
        <f t="shared" si="11"/>
        <v>"&lt;" : "ㆥ",</v>
      </c>
      <c r="AH36" s="204"/>
      <c r="AI36" s="365" t="str">
        <f t="shared" si="12"/>
        <v>"&lt;" : { commit: "ㆥ" }</v>
      </c>
      <c r="AJ36" s="2"/>
      <c r="AK36" s="399" t="str">
        <f t="shared" si="8"/>
        <v/>
      </c>
      <c r="AL36" s="402"/>
      <c r="AM36" s="210" t="str">
        <f t="shared" si="26"/>
        <v/>
      </c>
      <c r="AN36" s="2"/>
      <c r="BC36" s="11"/>
      <c r="BE36" s="221"/>
      <c r="BH36" s="2"/>
    </row>
    <row r="37" spans="2:60" ht="32.25">
      <c r="H37" s="2">
        <f t="shared" si="9"/>
        <v>35</v>
      </c>
      <c r="I37" s="98" t="str">
        <f t="shared" si="21"/>
        <v>X</v>
      </c>
      <c r="J37" s="98" t="str">
        <f t="shared" si="22"/>
        <v>L</v>
      </c>
      <c r="L37" s="2">
        <v>35</v>
      </c>
      <c r="M37" s="21" t="str">
        <f t="shared" si="20"/>
        <v>(</v>
      </c>
      <c r="N37" s="21" t="str">
        <f t="shared" si="23"/>
        <v>ㆮ</v>
      </c>
      <c r="P37" s="2">
        <v>35</v>
      </c>
      <c r="Q37" s="22" t="str">
        <f t="shared" si="4"/>
        <v/>
      </c>
      <c r="R37" s="22" t="str">
        <f t="shared" si="5"/>
        <v/>
      </c>
      <c r="T37" s="2">
        <v>35</v>
      </c>
      <c r="U37" s="201" t="str">
        <f t="shared" si="24"/>
        <v>L</v>
      </c>
      <c r="V37" s="203" t="str">
        <f t="shared" si="25"/>
        <v>X</v>
      </c>
      <c r="W37" s="202" t="str" cm="1">
        <f t="array" ref="W37" xml:space="preserve"> INDEX(注音編碼對照表[台語ㄅㄆㄇ], MATCH(TRUE, EXACT(表格1_33411[[#This Row],[鍵盤按鍵]], 注音編碼對照表[鍵盤按鍵] ),0))</f>
        <v>ㆯ</v>
      </c>
      <c r="X37" s="204" t="str" cm="1">
        <f t="array" ref="X37" xml:space="preserve"> INDEX(注音編碼對照表!$G$3:$G$60, MATCH(TRUE, EXACT(表格1_33411[[#This Row],[注音編碼]], 注音編碼對照表!$E$3:$E$54), 0))</f>
        <v>aunn</v>
      </c>
      <c r="Y37" s="24"/>
      <c r="Z37" s="77">
        <f t="shared" si="10"/>
        <v>35</v>
      </c>
      <c r="AA37" s="71" t="str">
        <f>使用按鍵解析!J45</f>
        <v>(</v>
      </c>
      <c r="AB37" s="192" t="str" cm="1">
        <f t="array" ref="AB37" xml:space="preserve"> INDEX(注音編碼對照表[注音編碼], MATCH(TRUE, EXACT(RIME設定解析!$AA37, 注音編碼對照表[鍵盤按鍵] ),0))</f>
        <v>Y</v>
      </c>
      <c r="AC37" s="32" t="str" cm="1">
        <f t="array" ref="AC37" xml:space="preserve"> INDEX(注音編碼對照表[方音符號], MATCH(TRUE, EXACT(RIME設定解析!$AA37, 注音編碼對照表[鍵盤按鍵] ),0))</f>
        <v>ㆮ</v>
      </c>
      <c r="AD37" s="397" t="str" cm="1">
        <f t="array" ref="AD37" xml:space="preserve"> INDEX(注音編碼對照表[台語ㄅㄆㄇ], MATCH(TRUE, EXACT(RIME設定解析!$AA37, 注音編碼對照表[鍵盤按鍵] ),0))</f>
        <v>ㆮ</v>
      </c>
      <c r="AE37" s="264" t="str" cm="1">
        <f t="array" ref="AE37" xml:space="preserve"> INDEX(注音編碼對照表[台語音標], MATCH(TRUE, EXACT(RIME設定解析!$AA37, 注音編碼對照表[鍵盤按鍵] ),0))</f>
        <v>ainn</v>
      </c>
      <c r="AF37" s="204"/>
      <c r="AG37" s="364" t="str">
        <f t="shared" si="11"/>
        <v>"(" : "ㆮ",</v>
      </c>
      <c r="AH37" s="204"/>
      <c r="AI37" s="365" t="str">
        <f t="shared" si="12"/>
        <v>"(" : { commit: "ㆮ" }</v>
      </c>
      <c r="AJ37" s="2"/>
      <c r="AK37" s="399" t="str">
        <f t="shared" si="8"/>
        <v/>
      </c>
      <c r="AL37" s="402"/>
      <c r="AM37" s="210" t="str">
        <f t="shared" si="26"/>
        <v/>
      </c>
      <c r="AN37" s="2"/>
      <c r="BC37" s="11"/>
      <c r="BE37" s="221"/>
      <c r="BH37" s="2"/>
    </row>
    <row r="38" spans="2:60" ht="32.25">
      <c r="H38" s="2">
        <f t="shared" si="9"/>
        <v>36</v>
      </c>
      <c r="I38" s="98" t="str">
        <f t="shared" si="21"/>
        <v>V</v>
      </c>
      <c r="J38" s="98" t="str">
        <f t="shared" si="22"/>
        <v>M</v>
      </c>
      <c r="L38" s="2">
        <v>36</v>
      </c>
      <c r="M38" s="21" t="str">
        <f t="shared" si="20"/>
        <v>L</v>
      </c>
      <c r="N38" s="21" t="str">
        <f t="shared" si="23"/>
        <v>ㆯ</v>
      </c>
      <c r="P38" s="2">
        <v>36</v>
      </c>
      <c r="Q38" s="22" t="str">
        <f t="shared" si="4"/>
        <v/>
      </c>
      <c r="R38" s="22" t="str">
        <f t="shared" si="5"/>
        <v/>
      </c>
      <c r="T38" s="2">
        <v>36</v>
      </c>
      <c r="U38" s="201" t="str">
        <f t="shared" si="24"/>
        <v>M</v>
      </c>
      <c r="V38" s="203" t="str">
        <f t="shared" si="25"/>
        <v>V</v>
      </c>
      <c r="W38" s="202" t="str" cm="1">
        <f t="array" ref="W38" xml:space="preserve"> INDEX(注音編碼對照表[台語ㄅㄆㄇ], MATCH(TRUE, EXACT(表格1_33411[[#This Row],[鍵盤按鍵]], 注音編碼對照表[鍵盤按鍵] ),0))</f>
        <v>ㄚㄇ</v>
      </c>
      <c r="X38" s="204" t="str" cm="1">
        <f t="array" ref="X38" xml:space="preserve"> INDEX(注音編碼對照表!$G$3:$G$60, MATCH(TRUE, EXACT(表格1_33411[[#This Row],[注音編碼]], 注音編碼對照表!$E$3:$E$54), 0))</f>
        <v>am</v>
      </c>
      <c r="Y38" s="24"/>
      <c r="Z38" s="77">
        <f t="shared" si="10"/>
        <v>36</v>
      </c>
      <c r="AA38" s="71" t="str">
        <f>使用按鍵解析!J46</f>
        <v>L</v>
      </c>
      <c r="AB38" s="192" t="str" cm="1">
        <f t="array" ref="AB38" xml:space="preserve"> INDEX(注音編碼對照表[注音編碼], MATCH(TRUE, EXACT(RIME設定解析!$AA38, 注音編碼對照表[鍵盤按鍵] ),0))</f>
        <v>X</v>
      </c>
      <c r="AC38" s="32" t="str" cm="1">
        <f t="array" ref="AC38" xml:space="preserve"> INDEX(注音編碼對照表[方音符號], MATCH(TRUE, EXACT(RIME設定解析!$AA38, 注音編碼對照表[鍵盤按鍵] ),0))</f>
        <v>ㆯ</v>
      </c>
      <c r="AD38" s="397" t="str" cm="1">
        <f t="array" ref="AD38" xml:space="preserve"> INDEX(注音編碼對照表[台語ㄅㄆㄇ], MATCH(TRUE, EXACT(RIME設定解析!$AA38, 注音編碼對照表[鍵盤按鍵] ),0))</f>
        <v>ㆯ</v>
      </c>
      <c r="AE38" s="264" t="str" cm="1">
        <f t="array" ref="AE38" xml:space="preserve"> INDEX(注音編碼對照表[台語音標], MATCH(TRUE, EXACT(RIME設定解析!$AA38, 注音編碼對照表[鍵盤按鍵] ),0))</f>
        <v>aunn</v>
      </c>
      <c r="AF38" s="204"/>
      <c r="AG38" s="364" t="str">
        <f t="shared" si="11"/>
        <v>"L" : "ㆯ",</v>
      </c>
      <c r="AH38" s="204"/>
      <c r="AI38" s="365" t="str">
        <f t="shared" si="12"/>
        <v>"L" : { commit: "ㆯ" }</v>
      </c>
      <c r="AJ38" s="2"/>
      <c r="AK38" s="399" t="str">
        <f t="shared" si="8"/>
        <v/>
      </c>
      <c r="AL38" s="402"/>
      <c r="AM38" s="210" t="str">
        <f t="shared" si="26"/>
        <v/>
      </c>
      <c r="AN38" s="2"/>
      <c r="BC38" s="11"/>
      <c r="BE38" s="221"/>
      <c r="BH38" s="2"/>
    </row>
    <row r="39" spans="2:60" ht="32.25">
      <c r="H39" s="2">
        <f t="shared" si="9"/>
        <v>37</v>
      </c>
      <c r="I39" s="98" t="str">
        <f t="shared" si="21"/>
        <v>H</v>
      </c>
      <c r="J39" s="98" t="str">
        <f t="shared" si="22"/>
        <v>o</v>
      </c>
      <c r="L39" s="2">
        <v>37</v>
      </c>
      <c r="M39" s="21" t="str">
        <f t="shared" si="20"/>
        <v>-</v>
      </c>
      <c r="N39" s="21" t="str">
        <f t="shared" si="23"/>
        <v>ㆨ</v>
      </c>
      <c r="P39" s="2">
        <v>37</v>
      </c>
      <c r="Q39" s="22" t="str">
        <f t="shared" si="4"/>
        <v/>
      </c>
      <c r="R39" s="22" t="str">
        <f t="shared" si="5"/>
        <v/>
      </c>
      <c r="T39" s="2">
        <v>37</v>
      </c>
      <c r="U39" s="201" t="str">
        <f t="shared" si="24"/>
        <v>o</v>
      </c>
      <c r="V39" s="203" t="str">
        <f t="shared" si="25"/>
        <v>H</v>
      </c>
      <c r="W39" s="202" t="str" cm="1">
        <f t="array" ref="W39" xml:space="preserve"> INDEX(注音編碼對照表[台語ㄅㄆㄇ], MATCH(TRUE, EXACT(表格1_33411[[#This Row],[鍵盤按鍵]], 注音編碼對照表[鍵盤按鍵] ),0))</f>
        <v>ㄛㄥ</v>
      </c>
      <c r="X39" s="204" t="str" cm="1">
        <f t="array" ref="X39" xml:space="preserve"> INDEX(注音編碼對照表!$G$3:$G$60, MATCH(TRUE, EXACT(表格1_33411[[#This Row],[注音編碼]], 注音編碼對照表!$E$3:$E$54), 0))</f>
        <v>ong</v>
      </c>
      <c r="Y39" s="24"/>
      <c r="Z39" s="77">
        <f t="shared" si="10"/>
        <v>37</v>
      </c>
      <c r="AA39" s="71" t="str">
        <f>使用按鍵解析!J47</f>
        <v>-</v>
      </c>
      <c r="AB39" s="192" t="str" cm="1">
        <f t="array" ref="AB39" xml:space="preserve"> INDEX(注音編碼對照表[注音編碼], MATCH(TRUE, EXACT(RIME設定解析!$AA39, 注音編碼對照表[鍵盤按鍵] ),0))</f>
        <v>R</v>
      </c>
      <c r="AC39" s="32" t="str" cm="1">
        <f t="array" ref="AC39" xml:space="preserve"> INDEX(注音編碼對照表[方音符號], MATCH(TRUE, EXACT(RIME設定解析!$AA39, 注音編碼對照表[鍵盤按鍵] ),0))</f>
        <v>ㆨ</v>
      </c>
      <c r="AD39" s="397" t="str" cm="1">
        <f t="array" ref="AD39" xml:space="preserve"> INDEX(注音編碼對照表[台語ㄅㄆㄇ], MATCH(TRUE, EXACT(RIME設定解析!$AA39, 注音編碼對照表[鍵盤按鍵] ),0))</f>
        <v>ㄦ</v>
      </c>
      <c r="AE39" s="264" t="str" cm="1">
        <f t="array" ref="AE39" xml:space="preserve"> INDEX(注音編碼對照表[台語音標], MATCH(TRUE, EXACT(RIME設定解析!$AA39, 注音編碼對照表[鍵盤按鍵] ),0))</f>
        <v>ir</v>
      </c>
      <c r="AF39" s="204"/>
      <c r="AG39" s="364" t="str">
        <f t="shared" si="11"/>
        <v>"-" : "ㄦ",</v>
      </c>
      <c r="AH39" s="204"/>
      <c r="AI39" s="365" t="str">
        <f t="shared" si="12"/>
        <v>"-" : { commit: "ㄦ" }</v>
      </c>
      <c r="AJ39" s="2"/>
      <c r="AK39" s="399" t="str">
        <f t="shared" si="8"/>
        <v/>
      </c>
      <c r="AL39" s="402"/>
      <c r="AM39" s="210" t="str">
        <f t="shared" si="26"/>
        <v/>
      </c>
      <c r="AN39" s="2"/>
      <c r="BC39" s="11"/>
      <c r="BE39" s="221"/>
      <c r="BH39" s="2"/>
    </row>
    <row r="40" spans="2:60" ht="32.25">
      <c r="H40" s="2">
        <f t="shared" si="9"/>
        <v>38</v>
      </c>
      <c r="I40" s="98" t="str">
        <f t="shared" si="21"/>
        <v>W</v>
      </c>
      <c r="J40" s="98" t="str">
        <f t="shared" si="22"/>
        <v>/</v>
      </c>
      <c r="L40" s="2">
        <v>38</v>
      </c>
      <c r="M40" s="21" t="str">
        <f t="shared" si="20"/>
        <v>M</v>
      </c>
      <c r="N40" s="21" t="str">
        <f t="shared" si="23"/>
        <v>ㆰ</v>
      </c>
      <c r="P40" s="2">
        <v>38</v>
      </c>
      <c r="Q40" s="22" t="str">
        <f t="shared" si="4"/>
        <v/>
      </c>
      <c r="R40" s="22" t="str">
        <f t="shared" si="5"/>
        <v/>
      </c>
      <c r="T40" s="2">
        <v>38</v>
      </c>
      <c r="U40" s="201" t="str">
        <f t="shared" si="24"/>
        <v>/</v>
      </c>
      <c r="V40" s="203" t="str">
        <f t="shared" si="25"/>
        <v>W</v>
      </c>
      <c r="W40" s="202" t="str" cm="1">
        <f t="array" ref="W40" xml:space="preserve"> INDEX(注音編碼對照表[台語ㄅㄆㄇ], MATCH(TRUE, EXACT(表格1_33411[[#This Row],[鍵盤按鍵]], 注音編碼對照表[鍵盤按鍵] ),0))</f>
        <v>ㄥ</v>
      </c>
      <c r="X40" s="204" t="str" cm="1">
        <f t="array" ref="X40" xml:space="preserve"> INDEX(注音編碼對照表!$G$3:$G$60, MATCH(TRUE, EXACT(表格1_33411[[#This Row],[注音編碼]], 注音編碼對照表!$E$3:$E$54), 0))</f>
        <v>-ng</v>
      </c>
      <c r="Y40" s="24"/>
      <c r="Z40" s="77">
        <f t="shared" si="10"/>
        <v>38</v>
      </c>
      <c r="AA40" s="71" t="str">
        <f>使用按鍵解析!J48</f>
        <v>M</v>
      </c>
      <c r="AB40" s="192" t="str" cm="1">
        <f t="array" ref="AB40" xml:space="preserve"> INDEX(注音編碼對照表[注音編碼], MATCH(TRUE, EXACT(RIME設定解析!$AA40, 注音編碼對照表[鍵盤按鍵] ),0))</f>
        <v>V</v>
      </c>
      <c r="AC40" s="32" t="str" cm="1">
        <f t="array" ref="AC40" xml:space="preserve"> INDEX(注音編碼對照表[方音符號], MATCH(TRUE, EXACT(RIME設定解析!$AA40, 注音編碼對照表[鍵盤按鍵] ),0))</f>
        <v>ㆰ</v>
      </c>
      <c r="AD40" s="397" t="str" cm="1">
        <f t="array" ref="AD40" xml:space="preserve"> INDEX(注音編碼對照表[台語ㄅㄆㄇ], MATCH(TRUE, EXACT(RIME設定解析!$AA40, 注音編碼對照表[鍵盤按鍵] ),0))</f>
        <v>ㄚㄇ</v>
      </c>
      <c r="AE40" s="264" t="str" cm="1">
        <f t="array" ref="AE40" xml:space="preserve"> INDEX(注音編碼對照表[台語音標], MATCH(TRUE, EXACT(RIME設定解析!$AA40, 注音編碼對照表[鍵盤按鍵] ),0))</f>
        <v>am</v>
      </c>
      <c r="AF40" s="204"/>
      <c r="AG40" s="364" t="str">
        <f t="shared" si="11"/>
        <v>"M" : "ㄚㄇ",</v>
      </c>
      <c r="AH40" s="204"/>
      <c r="AI40" s="365" t="str">
        <f t="shared" si="12"/>
        <v>"M" : { commit: "ㄚㄇ" }</v>
      </c>
      <c r="AJ40" s="2"/>
      <c r="AK40" s="399" t="str">
        <f t="shared" si="8"/>
        <v>xform/ㆰ/ㄚㄇ/</v>
      </c>
      <c r="AL40" s="402"/>
      <c r="AM40" s="210"/>
      <c r="AN40" s="2"/>
      <c r="BC40" s="11"/>
      <c r="BE40" s="221"/>
      <c r="BH40" s="2"/>
    </row>
    <row r="41" spans="2:60" ht="32.25">
      <c r="H41" s="2">
        <f t="shared" si="9"/>
        <v>39</v>
      </c>
      <c r="I41" s="98" t="str">
        <f t="shared" si="21"/>
        <v>N</v>
      </c>
      <c r="J41" s="98" t="str">
        <f t="shared" si="22"/>
        <v>p</v>
      </c>
      <c r="L41" s="2">
        <v>39</v>
      </c>
      <c r="M41" s="21" t="str">
        <f t="shared" si="20"/>
        <v>0</v>
      </c>
      <c r="N41" s="21" t="str">
        <f t="shared" si="23"/>
        <v>ㄢ</v>
      </c>
      <c r="P41" s="2">
        <v>39</v>
      </c>
      <c r="Q41" s="22" t="str">
        <f t="shared" si="4"/>
        <v/>
      </c>
      <c r="R41" s="22" t="str">
        <f t="shared" si="5"/>
        <v/>
      </c>
      <c r="T41" s="2">
        <v>39</v>
      </c>
      <c r="U41" s="201" t="str">
        <f t="shared" si="24"/>
        <v>p</v>
      </c>
      <c r="V41" s="203" t="str">
        <f t="shared" si="25"/>
        <v>N</v>
      </c>
      <c r="W41" s="202" t="str" cm="1">
        <f t="array" ref="W41" xml:space="preserve"> INDEX(注音編碼對照表[台語ㄅㄆㄇ], MATCH(TRUE, EXACT(表格1_33411[[#This Row],[鍵盤按鍵]], 注音編碼對照表[鍵盤按鍵] ),0))</f>
        <v>ㄣ</v>
      </c>
      <c r="X41" s="204" t="str" cm="1">
        <f t="array" ref="X41" xml:space="preserve"> INDEX(注音編碼對照表!$G$3:$G$60, MATCH(TRUE, EXACT(表格1_33411[[#This Row],[注音編碼]], 注音編碼對照表!$E$3:$E$54), 0))</f>
        <v>-n</v>
      </c>
      <c r="Y41" s="24"/>
      <c r="Z41" s="77">
        <f t="shared" si="10"/>
        <v>39</v>
      </c>
      <c r="AA41" s="71" t="str">
        <f>使用按鍵解析!J49</f>
        <v>0</v>
      </c>
      <c r="AB41" s="192" t="str" cm="1">
        <f t="array" ref="AB41" xml:space="preserve"> INDEX(注音編碼對照表[注音編碼], MATCH(TRUE, EXACT(RIME設定解析!$AA41, 注音編碼對照表[鍵盤按鍵] ),0))</f>
        <v>@</v>
      </c>
      <c r="AC41" s="32" t="str" cm="1">
        <f t="array" ref="AC41" xml:space="preserve"> INDEX(注音編碼對照表[方音符號], MATCH(TRUE, EXACT(RIME設定解析!$AA41, 注音編碼對照表[鍵盤按鍵] ),0))</f>
        <v>ㄢ</v>
      </c>
      <c r="AD41" s="397" t="str" cm="1">
        <f t="array" ref="AD41" xml:space="preserve"> INDEX(注音編碼對照表[台語ㄅㄆㄇ], MATCH(TRUE, EXACT(RIME設定解析!$AA41, 注音編碼對照表[鍵盤按鍵] ),0))</f>
        <v>ㄢ</v>
      </c>
      <c r="AE41" s="264" t="str" cm="1">
        <f t="array" ref="AE41" xml:space="preserve"> INDEX(注音編碼對照表[台語音標], MATCH(TRUE, EXACT(RIME設定解析!$AA41, 注音編碼對照表[鍵盤按鍵] ),0))</f>
        <v>an</v>
      </c>
      <c r="AF41" s="204"/>
      <c r="AG41" s="364" t="str">
        <f t="shared" si="11"/>
        <v>"0" : "ㄢ",</v>
      </c>
      <c r="AH41" s="204"/>
      <c r="AI41" s="365" t="str">
        <f t="shared" si="12"/>
        <v>"0" : { commit: "ㄢ" }</v>
      </c>
      <c r="AJ41" s="2"/>
      <c r="AK41" s="399" t="str">
        <f t="shared" si="8"/>
        <v/>
      </c>
      <c r="AL41" s="402"/>
      <c r="AM41" s="210" t="str">
        <f t="shared" ref="AM41:AM42" si="27" xml:space="preserve"> IF(LEN(AC41)=LEN(AD41), "", _xlfn.CONCAT( "xform/", AC41, "/", AD41, "/"))</f>
        <v/>
      </c>
      <c r="AN41" s="2"/>
      <c r="BC41" s="11"/>
      <c r="BE41" s="221"/>
      <c r="BH41" s="2"/>
    </row>
    <row r="42" spans="2:60" ht="32.25">
      <c r="H42" s="2">
        <f t="shared" si="9"/>
        <v>40</v>
      </c>
      <c r="I42" s="98" t="str">
        <f t="shared" si="21"/>
        <v>M</v>
      </c>
      <c r="J42" s="98" t="str">
        <f t="shared" si="22"/>
        <v>m</v>
      </c>
      <c r="L42" s="2">
        <v>40</v>
      </c>
      <c r="M42" s="21" t="str">
        <f t="shared" si="20"/>
        <v>;</v>
      </c>
      <c r="N42" s="21" t="str">
        <f t="shared" si="23"/>
        <v>ㄤ</v>
      </c>
      <c r="P42" s="2">
        <v>40</v>
      </c>
      <c r="Q42" s="22" t="str">
        <f t="shared" si="4"/>
        <v/>
      </c>
      <c r="R42" s="22" t="str">
        <f t="shared" si="5"/>
        <v/>
      </c>
      <c r="T42" s="2">
        <v>40</v>
      </c>
      <c r="U42" s="201" t="str">
        <f t="shared" si="24"/>
        <v>m</v>
      </c>
      <c r="V42" s="203" t="str">
        <f t="shared" si="25"/>
        <v>M</v>
      </c>
      <c r="W42" s="202" t="str" cm="1">
        <f t="array" ref="W42" xml:space="preserve"> INDEX(注音編碼對照表[台語ㄅㄆㄇ], MATCH(TRUE, EXACT(表格1_33411[[#This Row],[鍵盤按鍵]], 注音編碼對照表[鍵盤按鍵] ),0))</f>
        <v>ㄇ</v>
      </c>
      <c r="X42" s="204" t="str" cm="1">
        <f t="array" ref="X42" xml:space="preserve"> INDEX(注音編碼對照表!$G$3:$G$60, MATCH(TRUE, EXACT(表格1_33411[[#This Row],[注音編碼]], 注音編碼對照表!$E$3:$E$54), 0))</f>
        <v>-m</v>
      </c>
      <c r="Y42" s="24"/>
      <c r="Z42" s="77">
        <f t="shared" si="10"/>
        <v>40</v>
      </c>
      <c r="AA42" s="71" t="str">
        <f>使用按鍵解析!J50</f>
        <v>;</v>
      </c>
      <c r="AB42" s="192" t="str" cm="1">
        <f t="array" ref="AB42" xml:space="preserve"> INDEX(注音編碼對照表[注音編碼], MATCH(TRUE, EXACT(RIME設定解析!$AA42, 注音編碼對照表[鍵盤按鍵] ),0))</f>
        <v>G</v>
      </c>
      <c r="AC42" s="32" t="str" cm="1">
        <f t="array" ref="AC42" xml:space="preserve"> INDEX(注音編碼對照表[方音符號], MATCH(TRUE, EXACT(RIME設定解析!$AA42, 注音編碼對照表[鍵盤按鍵] ),0))</f>
        <v>ㄤ</v>
      </c>
      <c r="AD42" s="397" t="str" cm="1">
        <f t="array" ref="AD42" xml:space="preserve"> INDEX(注音編碼對照表[台語ㄅㄆㄇ], MATCH(TRUE, EXACT(RIME設定解析!$AA42, 注音編碼對照表[鍵盤按鍵] ),0))</f>
        <v>ㄤ</v>
      </c>
      <c r="AE42" s="264" t="str" cm="1">
        <f t="array" ref="AE42" xml:space="preserve"> INDEX(注音編碼對照表[台語音標], MATCH(TRUE, EXACT(RIME設定解析!$AA42, 注音編碼對照表[鍵盤按鍵] ),0))</f>
        <v>ang</v>
      </c>
      <c r="AF42" s="204"/>
      <c r="AG42" s="364" t="str">
        <f t="shared" si="11"/>
        <v>";" : "ㄤ",</v>
      </c>
      <c r="AH42" s="204"/>
      <c r="AI42" s="365" t="str">
        <f t="shared" si="12"/>
        <v>";" : { commit: "ㄤ" }</v>
      </c>
      <c r="AJ42" s="2"/>
      <c r="AK42" s="399" t="str">
        <f t="shared" si="8"/>
        <v/>
      </c>
      <c r="AL42" s="402"/>
      <c r="AM42" s="210" t="str">
        <f t="shared" si="27"/>
        <v/>
      </c>
      <c r="AN42" s="2"/>
      <c r="BC42" s="11"/>
      <c r="BE42" s="221"/>
      <c r="BH42" s="2"/>
    </row>
    <row r="43" spans="2:60" ht="32.25">
      <c r="H43" s="2">
        <f t="shared" si="9"/>
        <v>41</v>
      </c>
      <c r="I43" s="98" t="str">
        <f t="shared" si="21"/>
        <v>B</v>
      </c>
      <c r="J43" s="98" t="str">
        <f t="shared" si="22"/>
        <v>.</v>
      </c>
      <c r="L43" s="2">
        <v>41</v>
      </c>
      <c r="M43" s="21" t="str">
        <f t="shared" si="20"/>
        <v>O</v>
      </c>
      <c r="N43" s="21" t="str">
        <f t="shared" si="23"/>
        <v>ㆱ</v>
      </c>
      <c r="P43" s="2">
        <v>41</v>
      </c>
      <c r="Q43" s="22" t="str">
        <f t="shared" si="4"/>
        <v/>
      </c>
      <c r="R43" s="22" t="str">
        <f t="shared" si="5"/>
        <v/>
      </c>
      <c r="T43" s="2">
        <v>41</v>
      </c>
      <c r="U43" s="201" t="str">
        <f t="shared" si="24"/>
        <v>.</v>
      </c>
      <c r="V43" s="203" t="str">
        <f t="shared" si="25"/>
        <v>B</v>
      </c>
      <c r="W43" s="202" t="str" cm="1">
        <f t="array" ref="W43" xml:space="preserve"> INDEX(注音編碼對照表[台語ㄅㄆㄇ], MATCH(TRUE, EXACT(表格1_33411[[#This Row],[鍵盤按鍵]], 注音編碼對照表[鍵盤按鍵] ),0))</f>
        <v></v>
      </c>
      <c r="X43" s="204" t="str" cm="1">
        <f t="array" ref="X43" xml:space="preserve"> INDEX(注音編碼對照表!$G$3:$G$60, MATCH(TRUE, EXACT(表格1_33411[[#This Row],[注音編碼]], 注音編碼對照表!$E$3:$E$54), 0))</f>
        <v>-nn</v>
      </c>
      <c r="Y43" s="24"/>
      <c r="Z43" s="77">
        <f t="shared" si="10"/>
        <v>41</v>
      </c>
      <c r="AA43" s="71" t="str">
        <f>使用按鍵解析!J51</f>
        <v>O</v>
      </c>
      <c r="AB43" s="192" t="str" cm="1">
        <f t="array" ref="AB43" xml:space="preserve"> INDEX(注音編碼對照表[注音編碼], MATCH(TRUE, EXACT(RIME設定解析!$AA43, 注音編碼對照表[鍵盤按鍵] ),0))</f>
        <v>D</v>
      </c>
      <c r="AC43" s="32" t="str" cm="1">
        <f t="array" ref="AC43" xml:space="preserve"> INDEX(注音編碼對照表[方音符號], MATCH(TRUE, EXACT(RIME設定解析!$AA43, 注音編碼對照表[鍵盤按鍵] ),0))</f>
        <v>ㆱ</v>
      </c>
      <c r="AD43" s="397" t="str" cm="1">
        <f t="array" ref="AD43" xml:space="preserve"> INDEX(注音編碼對照表[台語ㄅㄆㄇ], MATCH(TRUE, EXACT(RIME設定解析!$AA43, 注音編碼對照表[鍵盤按鍵] ),0))</f>
        <v>ㄛㄇ</v>
      </c>
      <c r="AE43" s="264" t="str" cm="1">
        <f t="array" ref="AE43" xml:space="preserve"> INDEX(注音編碼對照表[台語音標], MATCH(TRUE, EXACT(RIME設定解析!$AA43, 注音編碼對照表[鍵盤按鍵] ),0))</f>
        <v>om</v>
      </c>
      <c r="AF43" s="204"/>
      <c r="AG43" s="364" t="str">
        <f t="shared" si="11"/>
        <v>"O" : "ㄛㄇ",</v>
      </c>
      <c r="AH43" s="204"/>
      <c r="AI43" s="365" t="str">
        <f t="shared" si="12"/>
        <v>"O" : { commit: "ㄛㄇ" }</v>
      </c>
      <c r="AJ43" s="2"/>
      <c r="AK43" s="399" t="str">
        <f t="shared" ref="AK43:AK54" si="28" xml:space="preserve"> IF(LEN(AC43)=LEN(AD43), "", _xlfn.CONCAT( "xform/", AC43, "/", AD43, "/"))</f>
        <v>xform/ㆱ/ㄛㄇ/</v>
      </c>
      <c r="AL43" s="402"/>
      <c r="AN43" s="2"/>
      <c r="BC43" s="11"/>
      <c r="BE43" s="221"/>
      <c r="BH43" s="2"/>
    </row>
    <row r="44" spans="2:60" ht="32.25">
      <c r="H44" s="2">
        <f t="shared" si="9"/>
        <v>42</v>
      </c>
      <c r="I44" s="98" t="str">
        <f t="shared" si="21"/>
        <v>1</v>
      </c>
      <c r="J44" s="98" t="str">
        <f t="shared" si="22"/>
        <v xml:space="preserve"> </v>
      </c>
      <c r="L44" s="2">
        <v>42</v>
      </c>
      <c r="M44" s="21" t="str">
        <f t="shared" si="20"/>
        <v>o</v>
      </c>
      <c r="N44" s="21" t="str">
        <f t="shared" si="23"/>
        <v>ㆲ</v>
      </c>
      <c r="P44" s="2">
        <v>42</v>
      </c>
      <c r="Q44" s="22" t="str">
        <f t="shared" si="4"/>
        <v/>
      </c>
      <c r="R44" s="22" t="str">
        <f t="shared" si="5"/>
        <v/>
      </c>
      <c r="T44" s="2">
        <v>42</v>
      </c>
      <c r="U44" s="201" t="str">
        <f t="shared" si="24"/>
        <v xml:space="preserve"> </v>
      </c>
      <c r="V44" s="203" t="str">
        <f t="shared" si="25"/>
        <v>1</v>
      </c>
      <c r="W44" s="202" t="str" cm="1">
        <f t="array" ref="W44" xml:space="preserve"> INDEX(注音編碼對照表[台語ㄅㄆㄇ], MATCH(TRUE, EXACT(表格1_33411[[#This Row],[鍵盤按鍵]], 注音編碼對照表[鍵盤按鍵] ),0))</f>
        <v>ˉ</v>
      </c>
      <c r="X44" s="204" t="e" cm="1">
        <f t="array" ref="X44" xml:space="preserve"> INDEX(注音編碼對照表!$G$3:$G$60, MATCH(TRUE, EXACT(表格1_33411[[#This Row],[注音編碼]], 注音編碼對照表!$E$3:$E$54), 0))</f>
        <v>#N/A</v>
      </c>
      <c r="Y44" s="24"/>
      <c r="Z44" s="87">
        <f t="shared" si="10"/>
        <v>42</v>
      </c>
      <c r="AA44" s="96" t="str">
        <f>使用按鍵解析!J52</f>
        <v>o</v>
      </c>
      <c r="AB44" s="261" t="str" cm="1">
        <f t="array" ref="AB44" xml:space="preserve"> INDEX(注音編碼對照表[注音編碼], MATCH(TRUE, EXACT(RIME設定解析!$AA44, 注音編碼對照表[鍵盤按鍵] ),0))</f>
        <v>H</v>
      </c>
      <c r="AC44" s="26" t="str" cm="1">
        <f t="array" ref="AC44" xml:space="preserve"> INDEX(注音編碼對照表[方音符號], MATCH(TRUE, EXACT(RIME設定解析!$AA44, 注音編碼對照表[鍵盤按鍵] ),0))</f>
        <v>ㆲ</v>
      </c>
      <c r="AD44" s="397" t="str" cm="1">
        <f t="array" ref="AD44" xml:space="preserve"> INDEX(注音編碼對照表[台語ㄅㄆㄇ], MATCH(TRUE, EXACT(RIME設定解析!$AA44, 注音編碼對照表[鍵盤按鍵] ),0))</f>
        <v>ㄛㄥ</v>
      </c>
      <c r="AE44" s="263" t="str" cm="1">
        <f t="array" ref="AE44" xml:space="preserve"> INDEX(注音編碼對照表[台語音標], MATCH(TRUE, EXACT(RIME設定解析!$AA44, 注音編碼對照表[鍵盤按鍵] ),0))</f>
        <v>ong</v>
      </c>
      <c r="AF44" s="204"/>
      <c r="AG44" s="364" t="str">
        <f t="shared" si="11"/>
        <v>"o" : "ㄛㄥ",</v>
      </c>
      <c r="AH44" s="204"/>
      <c r="AI44" s="365" t="str">
        <f t="shared" si="12"/>
        <v>"o" : { commit: "ㄛㄥ" }</v>
      </c>
      <c r="AJ44" s="2"/>
      <c r="AK44" s="399" t="str">
        <f t="shared" si="28"/>
        <v>xform/ㆲ/ㄛㄥ/</v>
      </c>
      <c r="AL44" s="402"/>
      <c r="AN44" s="2"/>
      <c r="BC44" s="11"/>
      <c r="BE44" s="221"/>
      <c r="BH44" s="2"/>
    </row>
    <row r="45" spans="2:60" ht="32.25">
      <c r="H45" s="2">
        <f t="shared" si="9"/>
        <v>43</v>
      </c>
      <c r="I45" s="98" t="str">
        <f t="shared" si="21"/>
        <v>2</v>
      </c>
      <c r="J45" s="98" t="str">
        <f t="shared" si="22"/>
        <v>4</v>
      </c>
      <c r="L45" s="2">
        <v>43</v>
      </c>
      <c r="M45" s="21" t="str">
        <f t="shared" si="20"/>
        <v>m</v>
      </c>
      <c r="N45" s="21" t="str">
        <f t="shared" si="23"/>
        <v>ㆬ</v>
      </c>
      <c r="R45" s="2"/>
      <c r="T45" s="2">
        <v>43</v>
      </c>
      <c r="U45" s="201" t="str">
        <f t="shared" si="24"/>
        <v>4</v>
      </c>
      <c r="V45" s="203" t="str">
        <f t="shared" si="25"/>
        <v>2</v>
      </c>
      <c r="W45" s="202" t="str" cm="1">
        <f t="array" ref="W45" xml:space="preserve"> INDEX(注音編碼對照表[台語ㄅㄆㄇ], MATCH(TRUE, EXACT(表格1_33411[[#This Row],[鍵盤按鍵]], 注音編碼對照表[鍵盤按鍵] ),0))</f>
        <v>ˋ</v>
      </c>
      <c r="X45" s="204" t="e" cm="1">
        <f t="array" ref="X45" xml:space="preserve"> INDEX(注音編碼對照表!$G$3:$G$60, MATCH(TRUE, EXACT(表格1_33411[[#This Row],[注音編碼]], 注音編碼對照表!$E$3:$E$54), 0))</f>
        <v>#N/A</v>
      </c>
      <c r="Y45" s="24"/>
      <c r="Z45" s="77">
        <f t="shared" si="10"/>
        <v>43</v>
      </c>
      <c r="AA45" s="71" t="str">
        <f>使用按鍵解析!J53</f>
        <v>m</v>
      </c>
      <c r="AB45" s="192" t="str" cm="1">
        <f t="array" ref="AB45" xml:space="preserve"> INDEX(注音編碼對照表[注音編碼], MATCH(TRUE, EXACT(RIME設定解析!$AA45, 注音編碼對照表[鍵盤按鍵] ),0))</f>
        <v>M</v>
      </c>
      <c r="AC45" s="32" t="str" cm="1">
        <f t="array" ref="AC45" xml:space="preserve"> INDEX(注音編碼對照表[方音符號], MATCH(TRUE, EXACT(RIME設定解析!$AA45, 注音編碼對照表[鍵盤按鍵] ),0))</f>
        <v>ㆬ</v>
      </c>
      <c r="AD45" s="397" t="str" cm="1">
        <f t="array" ref="AD45" xml:space="preserve"> INDEX(注音編碼對照表[台語ㄅㄆㄇ], MATCH(TRUE, EXACT(RIME設定解析!$AA45, 注音編碼對照表[鍵盤按鍵] ),0))</f>
        <v>ㄇ</v>
      </c>
      <c r="AE45" s="264" t="str" cm="1">
        <f t="array" ref="AE45" xml:space="preserve"> INDEX(注音編碼對照表[台語音標], MATCH(TRUE, EXACT(RIME設定解析!$AA45, 注音編碼對照表[鍵盤按鍵] ),0))</f>
        <v>-m</v>
      </c>
      <c r="AF45" s="204"/>
      <c r="AG45" s="364" t="str">
        <f t="shared" si="11"/>
        <v>"m" : "ㄇ",</v>
      </c>
      <c r="AH45" s="204"/>
      <c r="AI45" s="365" t="str">
        <f t="shared" si="12"/>
        <v>"m" : { commit: "ㄇ" }</v>
      </c>
      <c r="AJ45" s="2"/>
      <c r="AK45" s="399" t="str">
        <f t="shared" si="28"/>
        <v/>
      </c>
      <c r="AL45" s="402"/>
      <c r="AN45" s="2"/>
      <c r="BC45" s="11"/>
      <c r="BE45" s="221"/>
      <c r="BH45" s="2"/>
    </row>
    <row r="46" spans="2:60" ht="32.25">
      <c r="B46" s="92" t="s">
        <v>138</v>
      </c>
      <c r="G46" s="208"/>
      <c r="H46" s="2">
        <f t="shared" si="9"/>
        <v>44</v>
      </c>
      <c r="I46" s="98" t="str">
        <f t="shared" si="21"/>
        <v>3</v>
      </c>
      <c r="J46" s="98" t="str">
        <f t="shared" si="22"/>
        <v>3</v>
      </c>
      <c r="L46" s="2">
        <v>44</v>
      </c>
      <c r="M46" s="21" t="str">
        <f t="shared" si="20"/>
        <v>p</v>
      </c>
      <c r="N46" s="21" t="str">
        <f t="shared" si="23"/>
        <v>ㄣ</v>
      </c>
      <c r="R46" s="2"/>
      <c r="T46" s="2">
        <v>44</v>
      </c>
      <c r="U46" s="201" t="str">
        <f t="shared" si="24"/>
        <v>3</v>
      </c>
      <c r="V46" s="203" t="str">
        <f t="shared" si="25"/>
        <v>3</v>
      </c>
      <c r="W46" s="202" t="str" cm="1">
        <f t="array" ref="W46" xml:space="preserve"> INDEX(注音編碼對照表[台語ㄅㄆㄇ], MATCH(TRUE, EXACT(表格1_33411[[#This Row],[鍵盤按鍵]], 注音編碼對照表[鍵盤按鍵] ),0))</f>
        <v>ˇ</v>
      </c>
      <c r="X46" s="204" t="e" cm="1">
        <f t="array" ref="X46" xml:space="preserve"> INDEX(注音編碼對照表!$G$3:$G$60, MATCH(TRUE, EXACT(表格1_33411[[#This Row],[注音編碼]], 注音編碼對照表!$E$3:$E$54), 0))</f>
        <v>#N/A</v>
      </c>
      <c r="Y46" s="24"/>
      <c r="Z46" s="77">
        <f t="shared" si="10"/>
        <v>44</v>
      </c>
      <c r="AA46" s="71" t="str">
        <f>使用按鍵解析!J54</f>
        <v>p</v>
      </c>
      <c r="AB46" s="192" t="str" cm="1">
        <f t="array" ref="AB46" xml:space="preserve"> INDEX(注音編碼對照表[注音編碼], MATCH(TRUE, EXACT(RIME設定解析!$AA46, 注音編碼對照表[鍵盤按鍵] ),0))</f>
        <v>N</v>
      </c>
      <c r="AC46" s="32" t="str" cm="1">
        <f t="array" ref="AC46" xml:space="preserve"> INDEX(注音編碼對照表[方音符號], MATCH(TRUE, EXACT(RIME設定解析!$AA46, 注音編碼對照表[鍵盤按鍵] ),0))</f>
        <v>ㄣ</v>
      </c>
      <c r="AD46" s="397" t="str" cm="1">
        <f t="array" ref="AD46" xml:space="preserve"> INDEX(注音編碼對照表[台語ㄅㄆㄇ], MATCH(TRUE, EXACT(RIME設定解析!$AA46, 注音編碼對照表[鍵盤按鍵] ),0))</f>
        <v>ㄣ</v>
      </c>
      <c r="AE46" s="264" t="str" cm="1">
        <f t="array" ref="AE46" xml:space="preserve"> INDEX(注音編碼對照表[台語音標], MATCH(TRUE, EXACT(RIME設定解析!$AA46, 注音編碼對照表[鍵盤按鍵] ),0))</f>
        <v>-n</v>
      </c>
      <c r="AF46" s="204"/>
      <c r="AG46" s="364" t="str">
        <f t="shared" si="11"/>
        <v>"p" : "ㄣ",</v>
      </c>
      <c r="AH46" s="204"/>
      <c r="AI46" s="365" t="str">
        <f t="shared" si="12"/>
        <v>"p" : { commit: "ㄣ" }</v>
      </c>
      <c r="AJ46" s="2"/>
      <c r="AK46" s="399" t="str">
        <f t="shared" si="28"/>
        <v/>
      </c>
      <c r="AL46" s="402"/>
      <c r="AN46" s="2"/>
      <c r="BC46" s="11"/>
      <c r="BE46" s="221"/>
      <c r="BH46" s="2"/>
    </row>
    <row r="47" spans="2:60" ht="32.25">
      <c r="B47" s="93" t="s">
        <v>136</v>
      </c>
      <c r="G47" s="5"/>
      <c r="H47" s="2">
        <f t="shared" si="9"/>
        <v>45</v>
      </c>
      <c r="I47" s="98" t="str">
        <f t="shared" si="21"/>
        <v>5</v>
      </c>
      <c r="J47" s="98" t="str">
        <f t="shared" si="22"/>
        <v>6</v>
      </c>
      <c r="L47" s="2">
        <v>45</v>
      </c>
      <c r="M47" s="21" t="str">
        <f t="shared" si="20"/>
        <v>/</v>
      </c>
      <c r="N47" s="21" t="str">
        <f t="shared" si="23"/>
        <v>ㆭ</v>
      </c>
      <c r="R47" s="2"/>
      <c r="T47" s="2">
        <v>45</v>
      </c>
      <c r="U47" s="201" t="str">
        <f t="shared" si="24"/>
        <v>6</v>
      </c>
      <c r="V47" s="203" t="str">
        <f t="shared" si="25"/>
        <v>5</v>
      </c>
      <c r="W47" s="202" t="str" cm="1">
        <f t="array" ref="W47" xml:space="preserve"> INDEX(注音編碼對照表[台語ㄅㄆㄇ], MATCH(TRUE, EXACT(表格1_33411[[#This Row],[鍵盤按鍵]], 注音編碼對照表[鍵盤按鍵] ),0))</f>
        <v>ˊ</v>
      </c>
      <c r="X47" s="204" t="e" cm="1">
        <f t="array" ref="X47" xml:space="preserve"> INDEX(注音編碼對照表!$G$3:$G$60, MATCH(TRUE, EXACT(表格1_33411[[#This Row],[注音編碼]], 注音編碼對照表!$E$3:$E$54), 0))</f>
        <v>#N/A</v>
      </c>
      <c r="Y47" s="24"/>
      <c r="Z47" s="77">
        <f t="shared" si="10"/>
        <v>45</v>
      </c>
      <c r="AA47" s="71" t="str">
        <f>使用按鍵解析!J55</f>
        <v>/</v>
      </c>
      <c r="AB47" s="192" t="str" cm="1">
        <f t="array" ref="AB47" xml:space="preserve"> INDEX(注音編碼對照表[注音編碼], MATCH(TRUE, EXACT(RIME設定解析!$AA47, 注音編碼對照表[鍵盤按鍵] ),0))</f>
        <v>W</v>
      </c>
      <c r="AC47" s="32" t="str" cm="1">
        <f t="array" ref="AC47" xml:space="preserve"> INDEX(注音編碼對照表[方音符號], MATCH(TRUE, EXACT(RIME設定解析!$AA47, 注音編碼對照表[鍵盤按鍵] ),0))</f>
        <v>ㆭ</v>
      </c>
      <c r="AD47" s="397" t="str" cm="1">
        <f t="array" ref="AD47" xml:space="preserve"> INDEX(注音編碼對照表[台語ㄅㄆㄇ], MATCH(TRUE, EXACT(RIME設定解析!$AA47, 注音編碼對照表[鍵盤按鍵] ),0))</f>
        <v>ㄥ</v>
      </c>
      <c r="AE47" s="264" t="str" cm="1">
        <f t="array" ref="AE47" xml:space="preserve"> INDEX(注音編碼對照表[台語音標], MATCH(TRUE, EXACT(RIME設定解析!$AA47, 注音編碼對照表[鍵盤按鍵] ),0))</f>
        <v>-ng</v>
      </c>
      <c r="AF47" s="204"/>
      <c r="AG47" s="364" t="str">
        <f t="shared" si="11"/>
        <v>"/" : "ㄥ",</v>
      </c>
      <c r="AH47" s="204"/>
      <c r="AI47" s="365" t="str">
        <f t="shared" si="12"/>
        <v>"/" : { commit: "ㄥ" }</v>
      </c>
      <c r="AJ47" s="2"/>
      <c r="AK47" s="399" t="str">
        <f t="shared" si="28"/>
        <v/>
      </c>
      <c r="AL47" s="402"/>
      <c r="AN47" s="2"/>
      <c r="BC47" s="11"/>
      <c r="BE47" s="221"/>
      <c r="BH47" s="2"/>
    </row>
    <row r="48" spans="2:60" ht="32.25">
      <c r="B48" s="40" t="str">
        <f xml:space="preserve"> _xlfn.CONCAT(鍵盤位置)</f>
        <v>1q!a2wsxyhbnedEgcuj8ik,9l0;-UJ*I&lt;(LMo/pm. 43657</v>
      </c>
      <c r="G48" s="5"/>
      <c r="H48" s="2">
        <f t="shared" si="9"/>
        <v>46</v>
      </c>
      <c r="I48" s="98" t="str">
        <f t="shared" si="21"/>
        <v>7</v>
      </c>
      <c r="J48" s="98" t="str">
        <f t="shared" si="22"/>
        <v>5</v>
      </c>
      <c r="L48" s="2">
        <v>46</v>
      </c>
      <c r="M48" s="21" t="str">
        <f t="shared" si="20"/>
        <v>.</v>
      </c>
      <c r="N48" s="21" t="str">
        <f t="shared" si="23"/>
        <v>ㄬ</v>
      </c>
      <c r="R48" s="2"/>
      <c r="T48" s="2">
        <v>46</v>
      </c>
      <c r="U48" s="201" t="str">
        <f t="shared" si="24"/>
        <v>5</v>
      </c>
      <c r="V48" s="203" t="str">
        <f t="shared" si="25"/>
        <v>7</v>
      </c>
      <c r="W48" s="202" t="str" cm="1">
        <f t="array" ref="W48" xml:space="preserve"> INDEX(注音編碼對照表[台語ㄅㄆㄇ], MATCH(TRUE, EXACT(表格1_33411[[#This Row],[鍵盤按鍵]], 注音編碼對照表[鍵盤按鍵] ),0))</f>
        <v>+</v>
      </c>
      <c r="X48" s="204" t="e" cm="1">
        <f t="array" ref="X48" xml:space="preserve"> INDEX(注音編碼對照表!$G$3:$G$60, MATCH(TRUE, EXACT(表格1_33411[[#This Row],[注音編碼]], 注音編碼對照表!$E$3:$E$54), 0))</f>
        <v>#N/A</v>
      </c>
      <c r="Y48" s="24"/>
      <c r="Z48" s="77">
        <f t="shared" si="10"/>
        <v>46</v>
      </c>
      <c r="AA48" s="71" t="str">
        <f>使用按鍵解析!J56</f>
        <v>.</v>
      </c>
      <c r="AB48" s="192" t="str" cm="1">
        <f t="array" ref="AB48" xml:space="preserve"> INDEX(注音編碼對照表[注音編碼], MATCH(TRUE, EXACT(RIME設定解析!$AA48, 注音編碼對照表[鍵盤按鍵] ),0))</f>
        <v>B</v>
      </c>
      <c r="AC48" s="32" t="str" cm="1">
        <f t="array" ref="AC48" xml:space="preserve"> INDEX(注音編碼對照表[方音符號], MATCH(TRUE, EXACT(RIME設定解析!$AA48, 注音編碼對照表[鍵盤按鍵] ),0))</f>
        <v>ㄬ</v>
      </c>
      <c r="AD48" s="397" t="str" cm="1">
        <f t="array" ref="AD48" xml:space="preserve"> INDEX(注音編碼對照表[台語ㄅㄆㄇ], MATCH(TRUE, EXACT(RIME設定解析!$AA48, 注音編碼對照表[鍵盤按鍵] ),0))</f>
        <v></v>
      </c>
      <c r="AE48" s="264" t="str" cm="1">
        <f t="array" ref="AE48" xml:space="preserve"> INDEX(注音編碼對照表[台語音標], MATCH(TRUE, EXACT(RIME設定解析!$AA48, 注音編碼對照表[鍵盤按鍵] ),0))</f>
        <v>-nn</v>
      </c>
      <c r="AF48" s="204"/>
      <c r="AG48" s="364" t="str">
        <f t="shared" si="11"/>
        <v>"." : "",</v>
      </c>
      <c r="AH48" s="204"/>
      <c r="AI48" s="365" t="str">
        <f t="shared" si="12"/>
        <v>"." : { commit: "" }</v>
      </c>
      <c r="AJ48" s="2"/>
      <c r="AK48" s="399" t="str">
        <f t="shared" si="28"/>
        <v/>
      </c>
      <c r="AL48" s="402"/>
      <c r="AM48" s="404" t="s">
        <v>1486</v>
      </c>
      <c r="AN48" s="2"/>
      <c r="AQ48" s="405" t="s">
        <v>1483</v>
      </c>
      <c r="AR48" s="405" t="s">
        <v>1484</v>
      </c>
      <c r="BC48" s="11"/>
      <c r="BE48" s="221"/>
      <c r="BH48" s="2"/>
    </row>
    <row r="49" spans="2:60" ht="32.25">
      <c r="G49" s="5"/>
      <c r="H49" s="2">
        <f t="shared" si="9"/>
        <v>47</v>
      </c>
      <c r="I49" s="98" t="str">
        <f t="shared" si="21"/>
        <v>0</v>
      </c>
      <c r="J49" s="98" t="str">
        <f t="shared" si="22"/>
        <v>7</v>
      </c>
      <c r="L49" s="2">
        <v>47</v>
      </c>
      <c r="R49" s="2"/>
      <c r="T49" s="2">
        <v>47</v>
      </c>
      <c r="U49" s="201" t="str">
        <f t="shared" si="24"/>
        <v>7</v>
      </c>
      <c r="V49" s="203" t="str">
        <f t="shared" si="25"/>
        <v>0</v>
      </c>
      <c r="W49" s="202" t="str" cm="1">
        <f t="array" ref="W49" xml:space="preserve"> INDEX(注音編碼對照表[台語ㄅㄆㄇ], MATCH(TRUE, EXACT(表格1_33411[[#This Row],[鍵盤按鍵]], 注音編碼對照表[鍵盤按鍵] ),0))</f>
        <v>˙</v>
      </c>
      <c r="X49" s="204" t="e" cm="1">
        <f t="array" ref="X49" xml:space="preserve"> INDEX(注音編碼對照表!$G$3:$G$60, MATCH(TRUE, EXACT(表格1_33411[[#This Row],[注音編碼]], 注音編碼對照表!$E$3:$E$54), 0))</f>
        <v>#N/A</v>
      </c>
      <c r="Y49" s="24"/>
      <c r="Z49" s="77">
        <f t="shared" si="10"/>
        <v>47</v>
      </c>
      <c r="AA49" s="71" t="str">
        <f>使用按鍵解析!J57</f>
        <v xml:space="preserve"> </v>
      </c>
      <c r="AB49" s="192" t="str" cm="1">
        <f t="array" ref="AB49" xml:space="preserve"> INDEX(注音編碼對照表[注音編碼], MATCH(TRUE, EXACT(RIME設定解析!$AA49, 注音編碼對照表[鍵盤按鍵] ),0))</f>
        <v>¹</v>
      </c>
      <c r="AC49" s="32" t="str" cm="1">
        <f t="array" ref="AC49" xml:space="preserve"> INDEX(注音編碼對照表[方音符號], MATCH(TRUE, EXACT(RIME設定解析!$AA49, 注音編碼對照表[鍵盤按鍵] ),0))</f>
        <v>ˉ</v>
      </c>
      <c r="AD49" s="397" t="str" cm="1">
        <f t="array" ref="AD49" xml:space="preserve"> INDEX(注音編碼對照表[台語ㄅㄆㄇ], MATCH(TRUE, EXACT(RIME設定解析!$AA49, 注音編碼對照表[鍵盤按鍵] ),0))</f>
        <v>ˉ</v>
      </c>
      <c r="AE49" s="264" cm="1">
        <f t="array" ref="AE49" xml:space="preserve"> INDEX(注音編碼對照表[台語音標], MATCH(TRUE, EXACT(RIME設定解析!$AA49, 注音編碼對照表[鍵盤按鍵] ),0))</f>
        <v>1</v>
      </c>
      <c r="AF49" s="204"/>
      <c r="AG49" s="364" t="str">
        <f t="shared" si="11"/>
        <v>" " : "ˉ",</v>
      </c>
      <c r="AH49" s="204"/>
      <c r="AI49" s="365" t="str">
        <f t="shared" si="12"/>
        <v>" " : { commit: "ˉ" }</v>
      </c>
      <c r="AJ49" s="2"/>
      <c r="AK49" s="399" t="str">
        <f t="shared" si="28"/>
        <v/>
      </c>
      <c r="AL49" s="402"/>
      <c r="AM49" s="368" t="str">
        <f t="shared" ref="AM49:AM54" si="29" xml:space="preserve"> "- xform/" &amp; AA49 &amp; "/" &amp; AD49 &amp; "/"</f>
        <v>- xform/ /ˉ/</v>
      </c>
      <c r="AN49" s="47"/>
      <c r="AQ49" s="11">
        <f t="shared" ref="AQ49:AQ54" si="30">AE49</f>
        <v>1</v>
      </c>
      <c r="AR49" s="394" t="s">
        <v>1470</v>
      </c>
      <c r="AS49" s="2" t="str">
        <f t="shared" ref="AS49:AS54" si="31" xml:space="preserve"> "# " &amp; AR49 &amp; ": 台羅調號【" &amp; AQ49 &amp; "】"</f>
        <v># 陰平: 台羅調號【1】</v>
      </c>
      <c r="BC49" s="11"/>
      <c r="BE49" s="221"/>
      <c r="BH49" s="2"/>
    </row>
    <row r="50" spans="2:60" ht="32.25">
      <c r="G50" s="5"/>
      <c r="I50" s="2"/>
      <c r="J50" s="2"/>
      <c r="R50" s="2"/>
      <c r="T50" s="2">
        <v>48</v>
      </c>
      <c r="U50" s="201"/>
      <c r="V50" s="203"/>
      <c r="W50" s="202"/>
      <c r="X50" s="204"/>
      <c r="Y50" s="24"/>
      <c r="Z50" s="77">
        <f t="shared" si="10"/>
        <v>48</v>
      </c>
      <c r="AA50" s="71" t="str">
        <f>使用按鍵解析!J58</f>
        <v>4</v>
      </c>
      <c r="AB50" s="192" t="str" cm="1">
        <f t="array" ref="AB50" xml:space="preserve"> INDEX(注音編碼對照表[注音編碼], MATCH(TRUE, EXACT(RIME設定解析!$AA50, 注音編碼對照表[鍵盤按鍵] ),0))</f>
        <v>²</v>
      </c>
      <c r="AC50" s="32" t="str" cm="1">
        <f t="array" ref="AC50" xml:space="preserve"> INDEX(注音編碼對照表[方音符號], MATCH(TRUE, EXACT(RIME設定解析!$AA50, 注音編碼對照表[鍵盤按鍵] ),0))</f>
        <v>ˋ</v>
      </c>
      <c r="AD50" s="397" t="str" cm="1">
        <f t="array" ref="AD50" xml:space="preserve"> INDEX(注音編碼對照表[台語ㄅㄆㄇ], MATCH(TRUE, EXACT(RIME設定解析!$AA50, 注音編碼對照表[鍵盤按鍵] ),0))</f>
        <v>ˋ</v>
      </c>
      <c r="AE50" s="264" cm="1">
        <f t="array" ref="AE50" xml:space="preserve"> INDEX(注音編碼對照表[台語音標], MATCH(TRUE, EXACT(RIME設定解析!$AA50, 注音編碼對照表[鍵盤按鍵] ),0))</f>
        <v>2</v>
      </c>
      <c r="AF50" s="204"/>
      <c r="AG50" s="364" t="str">
        <f t="shared" si="11"/>
        <v>"4" : "ˋ",</v>
      </c>
      <c r="AH50" s="204"/>
      <c r="AI50" s="365" t="str">
        <f t="shared" si="12"/>
        <v>"4" : { commit: "ˋ" }</v>
      </c>
      <c r="AJ50" s="2"/>
      <c r="AK50" s="399" t="str">
        <f t="shared" si="28"/>
        <v/>
      </c>
      <c r="AL50" s="402"/>
      <c r="AM50" s="368" t="str">
        <f t="shared" si="29"/>
        <v>- xform/4/ˋ/</v>
      </c>
      <c r="AN50" s="47"/>
      <c r="AQ50" s="11">
        <f t="shared" si="30"/>
        <v>2</v>
      </c>
      <c r="AR50" s="217" t="s">
        <v>1473</v>
      </c>
      <c r="AS50" s="2" t="str">
        <f t="shared" si="31"/>
        <v># 陽平: 台羅調號【2】</v>
      </c>
      <c r="BC50" s="11"/>
      <c r="BE50" s="221"/>
      <c r="BH50" s="2"/>
    </row>
    <row r="51" spans="2:60" ht="32.25">
      <c r="B51" s="92" t="s">
        <v>139</v>
      </c>
      <c r="G51" s="5"/>
      <c r="I51" s="2"/>
      <c r="J51" s="2"/>
      <c r="R51" s="2"/>
      <c r="T51" s="2">
        <v>49</v>
      </c>
      <c r="U51" s="201"/>
      <c r="V51" s="203"/>
      <c r="W51" s="202"/>
      <c r="X51" s="204"/>
      <c r="Y51" s="24"/>
      <c r="Z51" s="77">
        <f t="shared" si="10"/>
        <v>49</v>
      </c>
      <c r="AA51" s="71" t="str">
        <f>使用按鍵解析!J59</f>
        <v>3</v>
      </c>
      <c r="AB51" s="192" t="str" cm="1">
        <f t="array" ref="AB51" xml:space="preserve"> INDEX(注音編碼對照表[注音編碼], MATCH(TRUE, EXACT(RIME設定解析!$AA51, 注音編碼對照表[鍵盤按鍵] ),0))</f>
        <v>³</v>
      </c>
      <c r="AC51" s="32" t="str" cm="1">
        <f t="array" ref="AC51" xml:space="preserve"> INDEX(注音編碼對照表[方音符號], MATCH(TRUE, EXACT(RIME設定解析!$AA51, 注音編碼對照表[鍵盤按鍵] ),0))</f>
        <v>˪</v>
      </c>
      <c r="AD51" s="397" t="str" cm="1">
        <f t="array" ref="AD51" xml:space="preserve"> INDEX(注音編碼對照表[台語ㄅㄆㄇ], MATCH(TRUE, EXACT(RIME設定解析!$AA51, 注音編碼對照表[鍵盤按鍵] ),0))</f>
        <v>ˇ</v>
      </c>
      <c r="AE51" s="264" cm="1">
        <f t="array" ref="AE51" xml:space="preserve"> INDEX(注音編碼對照表[台語音標], MATCH(TRUE, EXACT(RIME設定解析!$AA51, 注音編碼對照表[鍵盤按鍵] ),0))</f>
        <v>3</v>
      </c>
      <c r="AF51" s="204"/>
      <c r="AG51" s="364" t="str">
        <f t="shared" si="11"/>
        <v>"3" : "ˇ",</v>
      </c>
      <c r="AH51" s="204"/>
      <c r="AI51" s="365" t="str">
        <f t="shared" si="12"/>
        <v>"3" : { commit: "ˇ" }</v>
      </c>
      <c r="AJ51" s="2"/>
      <c r="AK51" s="399" t="str">
        <f t="shared" si="28"/>
        <v/>
      </c>
      <c r="AL51" s="402"/>
      <c r="AM51" s="368" t="str">
        <f t="shared" si="29"/>
        <v>- xform/3/ˇ/</v>
      </c>
      <c r="AN51" s="47"/>
      <c r="AQ51" s="11">
        <f t="shared" si="30"/>
        <v>3</v>
      </c>
      <c r="AR51" s="394" t="s">
        <v>1472</v>
      </c>
      <c r="AS51" s="2" t="str">
        <f t="shared" si="31"/>
        <v># 陰去: 台羅調號【3】</v>
      </c>
      <c r="BC51" s="11"/>
      <c r="BE51" s="221"/>
      <c r="BH51" s="2"/>
    </row>
    <row r="52" spans="2:60" ht="32.25">
      <c r="B52" s="93" t="s">
        <v>137</v>
      </c>
      <c r="G52" s="5"/>
      <c r="I52" s="2"/>
      <c r="J52" s="2"/>
      <c r="R52" s="2"/>
      <c r="T52" s="2">
        <v>50</v>
      </c>
      <c r="U52" s="201"/>
      <c r="V52" s="203"/>
      <c r="W52" s="202"/>
      <c r="X52" s="204"/>
      <c r="Y52" s="24"/>
      <c r="Z52" s="77">
        <f t="shared" si="10"/>
        <v>50</v>
      </c>
      <c r="AA52" s="71" t="str">
        <f>使用按鍵解析!J60</f>
        <v>6</v>
      </c>
      <c r="AB52" s="192" t="str" cm="1">
        <f t="array" ref="AB52" xml:space="preserve"> INDEX(注音編碼對照表[注音編碼], MATCH(TRUE, EXACT(RIME設定解析!$AA52, 注音編碼對照表[鍵盤按鍵] ),0))</f>
        <v>⁵</v>
      </c>
      <c r="AC52" s="32" t="str" cm="1">
        <f t="array" ref="AC52" xml:space="preserve"> INDEX(注音編碼對照表[方音符號], MATCH(TRUE, EXACT(RIME設定解析!$AA52, 注音編碼對照表[鍵盤按鍵] ),0))</f>
        <v>ˊ</v>
      </c>
      <c r="AD52" s="397" t="str" cm="1">
        <f t="array" ref="AD52" xml:space="preserve"> INDEX(注音編碼對照表[台語ㄅㄆㄇ], MATCH(TRUE, EXACT(RIME設定解析!$AA52, 注音編碼對照表[鍵盤按鍵] ),0))</f>
        <v>ˊ</v>
      </c>
      <c r="AE52" s="264" cm="1">
        <f t="array" ref="AE52" xml:space="preserve"> INDEX(注音編碼對照表[台語音標], MATCH(TRUE, EXACT(RIME設定解析!$AA52, 注音編碼對照表[鍵盤按鍵] ),0))</f>
        <v>5</v>
      </c>
      <c r="AF52" s="204"/>
      <c r="AG52" s="364" t="str">
        <f t="shared" si="11"/>
        <v>"6" : "ˊ",</v>
      </c>
      <c r="AH52" s="204"/>
      <c r="AI52" s="365" t="str">
        <f t="shared" si="12"/>
        <v>"6" : { commit: "ˊ" }</v>
      </c>
      <c r="AJ52" s="2"/>
      <c r="AK52" s="399" t="str">
        <f t="shared" si="28"/>
        <v/>
      </c>
      <c r="AL52" s="402"/>
      <c r="AM52" s="368" t="str">
        <f t="shared" si="29"/>
        <v>- xform/6/ˊ/</v>
      </c>
      <c r="AN52" s="47"/>
      <c r="AQ52" s="11">
        <f t="shared" si="30"/>
        <v>5</v>
      </c>
      <c r="AR52" s="217" t="s">
        <v>1474</v>
      </c>
      <c r="AS52" s="2" t="str">
        <f t="shared" si="31"/>
        <v># 陽入: 台羅調號【5】</v>
      </c>
      <c r="BC52" s="11"/>
      <c r="BE52" s="221"/>
      <c r="BH52" s="2"/>
    </row>
    <row r="53" spans="2:60" ht="32.25">
      <c r="G53" s="5"/>
      <c r="I53" s="2"/>
      <c r="J53" s="2"/>
      <c r="R53" s="2"/>
      <c r="T53" s="2">
        <v>51</v>
      </c>
      <c r="U53" s="201"/>
      <c r="V53" s="203"/>
      <c r="W53" s="202"/>
      <c r="X53" s="204"/>
      <c r="Y53" s="24"/>
      <c r="Z53" s="77">
        <f t="shared" si="10"/>
        <v>51</v>
      </c>
      <c r="AA53" s="71" t="str">
        <f>使用按鍵解析!J61</f>
        <v>5</v>
      </c>
      <c r="AB53" s="192" t="str" cm="1">
        <f t="array" ref="AB53" xml:space="preserve"> INDEX(注音編碼對照表[注音編碼], MATCH(TRUE, EXACT(RIME設定解析!$AA53, 注音編碼對照表[鍵盤按鍵] ),0))</f>
        <v>⁷</v>
      </c>
      <c r="AC53" s="32" t="str" cm="1">
        <f t="array" ref="AC53" xml:space="preserve"> INDEX(注音編碼對照表[方音符號], MATCH(TRUE, EXACT(RIME設定解析!$AA53, 注音編碼對照表[鍵盤按鍵] ),0))</f>
        <v>˫</v>
      </c>
      <c r="AD53" s="397" t="str" cm="1">
        <f t="array" ref="AD53" xml:space="preserve"> INDEX(注音編碼對照表[台語ㄅㄆㄇ], MATCH(TRUE, EXACT(RIME設定解析!$AA53, 注音編碼對照表[鍵盤按鍵] ),0))</f>
        <v>+</v>
      </c>
      <c r="AE53" s="264" cm="1">
        <f t="array" ref="AE53" xml:space="preserve"> INDEX(注音編碼對照表[台語音標], MATCH(TRUE, EXACT(RIME設定解析!$AA53, 注音編碼對照表[鍵盤按鍵] ),0))</f>
        <v>7</v>
      </c>
      <c r="AF53" s="204"/>
      <c r="AG53" s="364" t="str">
        <f t="shared" si="11"/>
        <v>"5" : "+",</v>
      </c>
      <c r="AH53" s="204"/>
      <c r="AI53" s="365" t="str">
        <f t="shared" si="12"/>
        <v>"5" : { commit: "+" }</v>
      </c>
      <c r="AJ53" s="2"/>
      <c r="AK53" s="399" t="str">
        <f t="shared" si="28"/>
        <v/>
      </c>
      <c r="AL53" s="402"/>
      <c r="AM53" s="368" t="str">
        <f t="shared" si="29"/>
        <v>- xform/5/+/</v>
      </c>
      <c r="AN53" s="47"/>
      <c r="AQ53" s="11">
        <f t="shared" si="30"/>
        <v>7</v>
      </c>
      <c r="AR53" s="394" t="s">
        <v>1471</v>
      </c>
      <c r="AS53" s="2" t="str">
        <f t="shared" si="31"/>
        <v># 上声: 台羅調號【7】</v>
      </c>
      <c r="BC53" s="11"/>
      <c r="BE53" s="221"/>
      <c r="BH53" s="2"/>
    </row>
    <row r="54" spans="2:60" ht="32.25">
      <c r="G54" s="5"/>
      <c r="I54" s="2"/>
      <c r="J54" s="2"/>
      <c r="R54" s="2"/>
      <c r="T54" s="2">
        <v>52</v>
      </c>
      <c r="U54" s="201"/>
      <c r="V54" s="203"/>
      <c r="W54" s="202"/>
      <c r="X54" s="204"/>
      <c r="Y54" s="24"/>
      <c r="Z54" s="77">
        <f t="shared" si="10"/>
        <v>52</v>
      </c>
      <c r="AA54" s="71" t="str">
        <f>使用按鍵解析!J62</f>
        <v>7</v>
      </c>
      <c r="AB54" s="192" t="str" cm="1">
        <f t="array" ref="AB54" xml:space="preserve"> INDEX(注音編碼對照表[注音編碼], MATCH(TRUE, EXACT(RIME設定解析!$AA54, 注音編碼對照表[鍵盤按鍵] ),0))</f>
        <v>⁰</v>
      </c>
      <c r="AC54" s="32" t="str" cm="1">
        <f t="array" ref="AC54" xml:space="preserve"> INDEX(注音編碼對照表[方音符號], MATCH(TRUE, EXACT(RIME設定解析!$AA54, 注音編碼對照表[鍵盤按鍵] ),0))</f>
        <v>˙</v>
      </c>
      <c r="AD54" s="397" t="str" cm="1">
        <f t="array" ref="AD54" xml:space="preserve"> INDEX(注音編碼對照表[台語ㄅㄆㄇ], MATCH(TRUE, EXACT(RIME設定解析!$AA54, 注音編碼對照表[鍵盤按鍵] ),0))</f>
        <v>˙</v>
      </c>
      <c r="AE54" s="264" t="str" cm="1">
        <f t="array" ref="AE54" xml:space="preserve"> INDEX(注音編碼對照表[台語音標], MATCH(TRUE, EXACT(RIME設定解析!$AA54, 注音編碼對照表[鍵盤按鍵] ),0))</f>
        <v>[48]</v>
      </c>
      <c r="AF54" s="204"/>
      <c r="AG54" s="364" t="str">
        <f t="shared" si="11"/>
        <v>"7" : "˙",</v>
      </c>
      <c r="AH54" s="204"/>
      <c r="AI54" s="365" t="str">
        <f t="shared" si="12"/>
        <v>"7" : { commit: "˙" }</v>
      </c>
      <c r="AJ54" s="2"/>
      <c r="AK54" s="399" t="str">
        <f t="shared" si="28"/>
        <v/>
      </c>
      <c r="AL54" s="402"/>
      <c r="AM54" s="368" t="str">
        <f t="shared" si="29"/>
        <v>- xform/7/˙/</v>
      </c>
      <c r="AN54" s="47"/>
      <c r="AQ54" s="11" t="str">
        <f t="shared" si="30"/>
        <v>[48]</v>
      </c>
      <c r="AR54" s="217" t="s">
        <v>1475</v>
      </c>
      <c r="AS54" s="2" t="str">
        <f t="shared" si="31"/>
        <v># 去声: 台羅調號【[48]】</v>
      </c>
      <c r="BC54" s="11"/>
      <c r="BE54" s="221"/>
      <c r="BH54" s="2"/>
    </row>
    <row r="55" spans="2:60">
      <c r="G55" s="5"/>
      <c r="I55" s="2"/>
      <c r="J55" s="2"/>
      <c r="R55" s="2"/>
      <c r="Z55" s="2"/>
      <c r="AA55" s="210"/>
      <c r="AE55" s="199"/>
      <c r="AF55" s="204"/>
      <c r="AG55" s="204"/>
      <c r="AH55" s="204"/>
      <c r="AI55" s="204"/>
      <c r="AJ55" s="2"/>
      <c r="AK55" s="398"/>
      <c r="AL55" s="401"/>
      <c r="AM55" s="204"/>
      <c r="AN55" s="2"/>
      <c r="BC55" s="11"/>
      <c r="BE55" s="221"/>
      <c r="BH55" s="2"/>
    </row>
    <row r="56" spans="2:60">
      <c r="G56" s="5"/>
      <c r="I56" s="2"/>
      <c r="J56" s="2"/>
      <c r="R56" s="2"/>
      <c r="Z56" s="2"/>
      <c r="AA56" s="210"/>
      <c r="AE56" s="199"/>
      <c r="AF56" s="204"/>
      <c r="AG56" s="204"/>
      <c r="AH56" s="204"/>
      <c r="AI56" s="204"/>
      <c r="AJ56" s="2"/>
      <c r="AK56" s="398"/>
      <c r="AL56" s="401"/>
      <c r="AM56" s="404" t="s">
        <v>1487</v>
      </c>
      <c r="AN56" s="2"/>
      <c r="AQ56" s="405" t="s">
        <v>1483</v>
      </c>
      <c r="AR56" s="405" t="s">
        <v>1484</v>
      </c>
      <c r="BC56" s="11"/>
      <c r="BE56" s="221"/>
      <c r="BH56" s="2"/>
    </row>
    <row r="57" spans="2:60">
      <c r="G57" s="5"/>
      <c r="I57" s="2"/>
      <c r="J57" s="2"/>
      <c r="R57" s="2"/>
      <c r="U57" s="222" t="s">
        <v>11</v>
      </c>
      <c r="V57" s="223" t="s">
        <v>367</v>
      </c>
      <c r="W57" s="223" t="s">
        <v>366</v>
      </c>
      <c r="X57" s="224" t="s">
        <v>259</v>
      </c>
      <c r="Y57" s="24"/>
      <c r="Z57" s="2"/>
      <c r="AA57" s="210"/>
      <c r="AE57" s="199"/>
      <c r="AF57" s="204"/>
      <c r="AG57" s="204"/>
      <c r="AH57" s="204"/>
      <c r="AI57" s="204"/>
      <c r="AJ57" s="2"/>
      <c r="AK57" s="398"/>
      <c r="AL57" s="401"/>
      <c r="AM57" s="368" t="str">
        <f xml:space="preserve"> "- xform/" &amp; AE49 &amp; "/" &amp; AD49 &amp; "/"</f>
        <v>- xform/1/ˉ/</v>
      </c>
      <c r="AN57" s="47"/>
      <c r="AQ57" s="2">
        <v>1</v>
      </c>
      <c r="AR57" s="2" t="s">
        <v>1488</v>
      </c>
      <c r="AS57" s="2" t="s">
        <v>1489</v>
      </c>
      <c r="BC57" s="11"/>
      <c r="BE57" s="221"/>
      <c r="BH57" s="2"/>
    </row>
    <row r="58" spans="2:60">
      <c r="G58" s="5"/>
      <c r="I58" s="2"/>
      <c r="J58" s="2"/>
      <c r="R58" s="2"/>
      <c r="U58" s="225" t="s">
        <v>201</v>
      </c>
      <c r="V58" s="203" t="s">
        <v>356</v>
      </c>
      <c r="W58" s="202" t="s">
        <v>125</v>
      </c>
      <c r="X58" s="226" t="s">
        <v>173</v>
      </c>
      <c r="Y58" s="24"/>
      <c r="Z58" s="2"/>
      <c r="AA58" s="210"/>
      <c r="AE58" s="199"/>
      <c r="AF58" s="204"/>
      <c r="AG58" s="204"/>
      <c r="AH58" s="204"/>
      <c r="AI58" s="204"/>
      <c r="AJ58" s="2"/>
      <c r="AK58" s="398"/>
      <c r="AL58" s="401"/>
      <c r="AM58" s="368" t="str">
        <f t="shared" ref="AM58:AM61" si="32" xml:space="preserve"> "- xform/" &amp; AE50 &amp; "/" &amp; AD50 &amp; "/"</f>
        <v>- xform/2/ˋ/</v>
      </c>
      <c r="AN58" s="47"/>
      <c r="AQ58" s="2">
        <v>2</v>
      </c>
      <c r="AR58" s="2" t="s">
        <v>317</v>
      </c>
      <c r="AS58" s="2" t="s">
        <v>1490</v>
      </c>
      <c r="BC58" s="11"/>
      <c r="BE58" s="221"/>
      <c r="BH58" s="2"/>
    </row>
    <row r="59" spans="2:60">
      <c r="G59" s="5"/>
      <c r="I59" s="2"/>
      <c r="J59" s="2"/>
      <c r="R59" s="2"/>
      <c r="U59" s="227" t="s">
        <v>352</v>
      </c>
      <c r="V59" s="203" t="s">
        <v>357</v>
      </c>
      <c r="W59" s="202" t="s">
        <v>99</v>
      </c>
      <c r="X59" s="228" t="s">
        <v>175</v>
      </c>
      <c r="Y59" s="24"/>
      <c r="Z59" s="2"/>
      <c r="AA59" s="210"/>
      <c r="AE59" s="199"/>
      <c r="AF59" s="204"/>
      <c r="AG59" s="204"/>
      <c r="AH59" s="204"/>
      <c r="AI59" s="204"/>
      <c r="AJ59" s="2"/>
      <c r="AK59" s="398"/>
      <c r="AL59" s="401"/>
      <c r="AM59" s="368" t="str">
        <f t="shared" si="32"/>
        <v>- xform/3/ˇ/</v>
      </c>
      <c r="AN59" s="47"/>
      <c r="AQ59" s="2">
        <v>3</v>
      </c>
      <c r="AR59" s="2" t="s">
        <v>314</v>
      </c>
      <c r="AS59" s="2" t="s">
        <v>1491</v>
      </c>
      <c r="BC59" s="11"/>
      <c r="BE59" s="221"/>
      <c r="BH59" s="2"/>
    </row>
    <row r="60" spans="2:60">
      <c r="G60" s="5"/>
      <c r="I60" s="2"/>
      <c r="J60" s="2"/>
      <c r="R60" s="2"/>
      <c r="U60" s="225" t="s">
        <v>174</v>
      </c>
      <c r="V60" s="203" t="s">
        <v>355</v>
      </c>
      <c r="W60" s="202" t="s">
        <v>101</v>
      </c>
      <c r="X60" s="226" t="s">
        <v>149</v>
      </c>
      <c r="Y60" s="24"/>
      <c r="Z60" s="2"/>
      <c r="AA60" s="217"/>
      <c r="AC60" s="217"/>
      <c r="AE60" s="218" t="s">
        <v>372</v>
      </c>
      <c r="AF60" s="204"/>
      <c r="AG60" s="204"/>
      <c r="AH60" s="204"/>
      <c r="AI60" s="204"/>
      <c r="AJ60" s="2"/>
      <c r="AK60" s="398"/>
      <c r="AL60" s="401"/>
      <c r="AM60" s="368" t="str">
        <f t="shared" si="32"/>
        <v>- xform/5/ˊ/</v>
      </c>
      <c r="AN60" s="47"/>
      <c r="AQ60" s="2">
        <v>5</v>
      </c>
      <c r="AR60" s="2" t="s">
        <v>1492</v>
      </c>
      <c r="AS60" s="2" t="s">
        <v>1493</v>
      </c>
      <c r="BC60" s="11"/>
      <c r="BE60" s="221"/>
      <c r="BH60" s="2"/>
    </row>
    <row r="61" spans="2:60">
      <c r="G61" s="5"/>
      <c r="I61" s="2"/>
      <c r="J61" s="2"/>
      <c r="R61" s="2"/>
      <c r="X61" s="199"/>
      <c r="Y61" s="24"/>
      <c r="Z61" s="2"/>
      <c r="AA61" s="210"/>
      <c r="AE61" s="199"/>
      <c r="AF61" s="204"/>
      <c r="AG61" s="204"/>
      <c r="AH61" s="204"/>
      <c r="AI61" s="204"/>
      <c r="AJ61" s="2"/>
      <c r="AK61" s="398"/>
      <c r="AL61" s="401"/>
      <c r="AM61" s="368" t="str">
        <f t="shared" si="32"/>
        <v>- xform/7/+/</v>
      </c>
      <c r="AN61" s="47"/>
      <c r="AQ61" s="2">
        <v>7</v>
      </c>
      <c r="AR61" s="2" t="s">
        <v>315</v>
      </c>
      <c r="AS61" s="2" t="s">
        <v>1494</v>
      </c>
      <c r="BC61" s="11"/>
      <c r="BE61" s="221"/>
      <c r="BH61" s="2"/>
    </row>
    <row r="62" spans="2:60">
      <c r="G62" s="5"/>
      <c r="I62" s="2"/>
      <c r="J62" s="2"/>
      <c r="R62" s="2"/>
      <c r="AF62" s="204"/>
      <c r="AG62" s="204"/>
      <c r="AH62" s="204"/>
      <c r="AI62" s="204"/>
      <c r="AJ62" s="2"/>
      <c r="AK62" s="398"/>
      <c r="AL62" s="401"/>
      <c r="AM62" s="368" t="str">
        <f xml:space="preserve"> "- xform/8/˙/"</f>
        <v>- xform/8/˙/</v>
      </c>
      <c r="AN62" s="47"/>
      <c r="AQ62" s="2">
        <v>8</v>
      </c>
      <c r="AR62" s="2" t="s">
        <v>1495</v>
      </c>
      <c r="AS62" s="2" t="s">
        <v>1497</v>
      </c>
      <c r="BD62" s="11"/>
    </row>
    <row r="63" spans="2:60">
      <c r="G63" s="5"/>
      <c r="I63" s="2"/>
      <c r="J63" s="2"/>
      <c r="R63" s="2"/>
      <c r="AF63" s="204"/>
      <c r="AG63" s="204"/>
      <c r="AH63" s="204"/>
      <c r="AI63" s="204"/>
      <c r="AJ63" s="2"/>
      <c r="AK63" s="398"/>
      <c r="AL63" s="401"/>
      <c r="AM63" s="368" t="str">
        <f xml:space="preserve"> "- xform/4//"</f>
        <v>- xform/4//</v>
      </c>
      <c r="AN63" s="47"/>
      <c r="AQ63" s="2">
        <v>4</v>
      </c>
      <c r="AR63" s="2" t="s">
        <v>1496</v>
      </c>
      <c r="AS63" s="2" t="s">
        <v>1498</v>
      </c>
      <c r="BD63" s="11"/>
    </row>
    <row r="64" spans="2:60">
      <c r="G64" s="5"/>
      <c r="I64" s="2"/>
      <c r="J64" s="2"/>
      <c r="R64" s="2"/>
      <c r="AF64" s="204"/>
      <c r="AG64" s="204"/>
      <c r="AH64" s="204"/>
      <c r="AI64" s="204"/>
      <c r="AJ64" s="2"/>
      <c r="AK64" s="398"/>
      <c r="AL64" s="401"/>
      <c r="AM64" s="204"/>
      <c r="BD64" s="11"/>
    </row>
    <row r="65" spans="7:56">
      <c r="G65" s="5"/>
      <c r="I65" s="2"/>
      <c r="J65" s="2"/>
      <c r="R65" s="2"/>
      <c r="BD65" s="11"/>
    </row>
    <row r="66" spans="7:56">
      <c r="G66" s="5"/>
      <c r="I66" s="2"/>
      <c r="J66" s="2"/>
      <c r="R66" s="2"/>
      <c r="BD66" s="11"/>
    </row>
    <row r="67" spans="7:56">
      <c r="G67" s="5"/>
      <c r="I67" s="2"/>
      <c r="J67" s="2"/>
      <c r="R67" s="2"/>
      <c r="BD67" s="11"/>
    </row>
    <row r="68" spans="7:56">
      <c r="G68" s="5"/>
      <c r="I68" s="2"/>
      <c r="J68" s="2"/>
      <c r="R68" s="2"/>
      <c r="BD68" s="11"/>
    </row>
    <row r="69" spans="7:56">
      <c r="G69" s="5"/>
      <c r="I69" s="2"/>
      <c r="J69" s="2"/>
      <c r="R69" s="2"/>
      <c r="BD69" s="11"/>
    </row>
    <row r="70" spans="7:56">
      <c r="G70" s="5"/>
      <c r="I70" s="2"/>
      <c r="J70" s="2"/>
      <c r="R70" s="2"/>
      <c r="BD70" s="11"/>
    </row>
    <row r="71" spans="7:56">
      <c r="G71" s="5"/>
      <c r="I71" s="2"/>
      <c r="J71" s="2"/>
      <c r="R71" s="2"/>
      <c r="BD71" s="11"/>
    </row>
    <row r="72" spans="7:56">
      <c r="G72" s="5"/>
      <c r="I72" s="2"/>
      <c r="J72" s="2"/>
      <c r="R72" s="2"/>
      <c r="BD72" s="11"/>
    </row>
    <row r="73" spans="7:56">
      <c r="G73" s="5"/>
      <c r="I73" s="2"/>
      <c r="J73" s="2"/>
      <c r="R73" s="2"/>
      <c r="BD73" s="11"/>
    </row>
    <row r="74" spans="7:56">
      <c r="G74" s="5"/>
      <c r="I74" s="2"/>
      <c r="J74" s="2"/>
      <c r="R74" s="2"/>
      <c r="BD74" s="11"/>
    </row>
    <row r="75" spans="7:56">
      <c r="G75" s="5"/>
      <c r="I75" s="2"/>
      <c r="J75" s="2"/>
      <c r="R75" s="2"/>
      <c r="BD75" s="11"/>
    </row>
    <row r="76" spans="7:56">
      <c r="G76" s="5"/>
      <c r="I76" s="2"/>
      <c r="J76" s="2"/>
      <c r="R76" s="2"/>
      <c r="BD76" s="11"/>
    </row>
    <row r="77" spans="7:56">
      <c r="G77" s="5"/>
      <c r="I77" s="2"/>
      <c r="J77" s="2"/>
      <c r="R77" s="2"/>
      <c r="BD77" s="11"/>
    </row>
    <row r="78" spans="7:56">
      <c r="G78" s="5"/>
      <c r="I78" s="2"/>
      <c r="J78" s="2"/>
      <c r="R78" s="2"/>
      <c r="BD78" s="11"/>
    </row>
    <row r="79" spans="7:56">
      <c r="G79" s="5"/>
      <c r="I79" s="2"/>
      <c r="J79" s="2"/>
      <c r="R79" s="2"/>
      <c r="BD79" s="11"/>
    </row>
    <row r="80" spans="7:56">
      <c r="G80" s="5"/>
      <c r="I80" s="2"/>
      <c r="J80" s="2"/>
      <c r="R80" s="2"/>
      <c r="BD80" s="11"/>
    </row>
    <row r="81" spans="7:56">
      <c r="G81" s="5"/>
      <c r="I81" s="2"/>
      <c r="J81" s="2"/>
      <c r="R81" s="2"/>
      <c r="BD81" s="11"/>
    </row>
    <row r="82" spans="7:56">
      <c r="G82" s="5"/>
      <c r="I82" s="2"/>
      <c r="J82" s="2"/>
      <c r="R82" s="2"/>
      <c r="BD82" s="11"/>
    </row>
    <row r="83" spans="7:56">
      <c r="G83" s="5"/>
      <c r="I83" s="2"/>
      <c r="J83" s="2"/>
      <c r="R83" s="2"/>
      <c r="BD83" s="11"/>
    </row>
    <row r="84" spans="7:56">
      <c r="G84" s="5"/>
      <c r="I84" s="2"/>
      <c r="J84" s="2"/>
      <c r="R84" s="2"/>
      <c r="BD84" s="11"/>
    </row>
    <row r="85" spans="7:56">
      <c r="G85" s="5"/>
      <c r="I85" s="2"/>
      <c r="J85" s="2"/>
      <c r="R85" s="2"/>
      <c r="BD85" s="11"/>
    </row>
    <row r="86" spans="7:56">
      <c r="G86" s="5"/>
      <c r="I86" s="2"/>
      <c r="J86" s="2"/>
      <c r="R86" s="2"/>
      <c r="BD86" s="11"/>
    </row>
    <row r="87" spans="7:56">
      <c r="G87" s="5"/>
      <c r="I87" s="2"/>
      <c r="J87" s="2"/>
      <c r="R87" s="2"/>
      <c r="BD87" s="11"/>
    </row>
    <row r="88" spans="7:56">
      <c r="G88" s="5"/>
      <c r="I88" s="2"/>
      <c r="J88" s="2"/>
      <c r="L88" s="4"/>
      <c r="M88" s="3"/>
      <c r="N88" s="2"/>
      <c r="Q88" s="5"/>
      <c r="R88" s="2"/>
      <c r="BD88" s="11"/>
    </row>
    <row r="89" spans="7:56">
      <c r="I89" s="2"/>
      <c r="J89" s="2"/>
      <c r="L89" s="4"/>
      <c r="M89" s="3"/>
      <c r="N89" s="2"/>
      <c r="Q89" s="5"/>
      <c r="R89" s="2"/>
      <c r="BD89" s="11"/>
    </row>
    <row r="90" spans="7:56">
      <c r="I90" s="2"/>
      <c r="J90" s="2"/>
      <c r="L90" s="4"/>
      <c r="M90" s="3"/>
      <c r="N90" s="2"/>
      <c r="Q90" s="5"/>
      <c r="R90" s="2"/>
      <c r="BD90" s="11"/>
    </row>
    <row r="91" spans="7:56">
      <c r="I91" s="2"/>
      <c r="J91" s="2"/>
      <c r="L91" s="4"/>
      <c r="M91" s="3"/>
      <c r="N91" s="2"/>
      <c r="Q91" s="5"/>
      <c r="R91" s="2"/>
      <c r="BD91" s="11"/>
    </row>
    <row r="92" spans="7:56">
      <c r="I92" s="2"/>
      <c r="J92" s="2"/>
      <c r="L92" s="4"/>
      <c r="M92" s="3"/>
      <c r="N92" s="2"/>
      <c r="Q92" s="5"/>
      <c r="R92" s="2"/>
      <c r="BD92" s="11"/>
    </row>
    <row r="93" spans="7:56">
      <c r="I93" s="2"/>
      <c r="J93" s="2"/>
      <c r="L93" s="4"/>
      <c r="M93" s="3"/>
      <c r="N93" s="2"/>
      <c r="Q93" s="5"/>
      <c r="R93" s="2"/>
      <c r="BD93" s="11"/>
    </row>
    <row r="94" spans="7:56">
      <c r="I94" s="2"/>
      <c r="J94" s="2"/>
      <c r="L94" s="4"/>
      <c r="M94" s="3"/>
      <c r="N94" s="2"/>
      <c r="Q94" s="5"/>
      <c r="R94" s="2"/>
      <c r="BD94" s="11"/>
    </row>
    <row r="95" spans="7:56">
      <c r="I95" s="2"/>
      <c r="J95" s="2"/>
      <c r="BD95" s="11"/>
    </row>
    <row r="96" spans="7:56">
      <c r="I96" s="2"/>
      <c r="J96" s="2"/>
      <c r="BD96" s="11"/>
    </row>
    <row r="97" spans="9:56">
      <c r="I97" s="2"/>
      <c r="J97" s="2"/>
      <c r="BD97" s="11"/>
    </row>
    <row r="98" spans="9:56">
      <c r="I98" s="2"/>
      <c r="J98" s="2"/>
      <c r="BD98" s="11"/>
    </row>
    <row r="99" spans="9:56">
      <c r="BD99" s="11"/>
    </row>
  </sheetData>
  <autoFilter ref="Z2:AE58" xr:uid="{75B49C6C-D82D-4721-BCB2-CDFB1A07BE11}"/>
  <phoneticPr fontId="9" type="noConversion"/>
  <conditionalFormatting sqref="AA3:AD54">
    <cfRule type="cellIs" dxfId="0" priority="1" operator="equal">
      <formula>CHAR(32)</formula>
    </cfRule>
  </conditionalFormatting>
  <hyperlinks>
    <hyperlink ref="B2" r:id="rId1" xr:uid="{32021844-0038-472D-850A-BA1C93A52D93}"/>
  </hyperlinks>
  <pageMargins left="0.7" right="0.7" top="0.75" bottom="0.75" header="0.3" footer="0.3"/>
  <ignoredErrors>
    <ignoredError sqref="BG14" unlockedFormula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1A65-D3F4-4D7F-8821-6DB681163119}">
  <sheetPr>
    <tabColor rgb="FF00B0F0"/>
  </sheetPr>
  <dimension ref="B1:Y11"/>
  <sheetViews>
    <sheetView showGridLines="0" workbookViewId="0">
      <selection activeCell="D19" sqref="D19"/>
    </sheetView>
  </sheetViews>
  <sheetFormatPr defaultRowHeight="21"/>
  <cols>
    <col min="1" max="1" width="2.69921875" customWidth="1"/>
    <col min="2" max="25" width="6.69921875" customWidth="1"/>
    <col min="26" max="26" width="2.69921875" customWidth="1"/>
  </cols>
  <sheetData>
    <row r="1" spans="2:25" ht="9.9499999999999993" customHeight="1"/>
    <row r="2" spans="2:25" s="344" customFormat="1" ht="45" customHeight="1">
      <c r="B2" s="422" t="s">
        <v>555</v>
      </c>
      <c r="C2" s="422"/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2"/>
      <c r="U2" s="422"/>
      <c r="V2" s="422"/>
      <c r="W2" s="422"/>
      <c r="X2" s="422"/>
      <c r="Y2" s="422"/>
    </row>
    <row r="3" spans="2:25" ht="45" customHeight="1">
      <c r="B3" s="345" t="str" cm="1">
        <f t="array" ref="B3" xml:space="preserve"> INDEX(注音編碼對照表!$D$3:$D$54, 注音符號表!B$10, 0)</f>
        <v>ㄅ</v>
      </c>
      <c r="C3" s="345" t="str" cm="1">
        <f t="array" ref="C3" xml:space="preserve"> INDEX(注音編碼對照表!$D$3:$D$54, 注音符號表!C$10, 0)</f>
        <v>ㄆ</v>
      </c>
      <c r="D3" s="345" t="str" cm="1">
        <f t="array" ref="D3" xml:space="preserve"> INDEX(注音編碼對照表!$D$3:$D$54, 注音符號表!D$10, 0)</f>
        <v>ㆠ</v>
      </c>
      <c r="E3" s="345" t="str" cm="1">
        <f t="array" ref="E3" xml:space="preserve"> INDEX(注音編碼對照表!$D$3:$D$54, 注音符號表!E$10, 0)</f>
        <v>ㄇ</v>
      </c>
      <c r="F3" s="345" t="str" cm="1">
        <f t="array" ref="F3" xml:space="preserve"> INDEX(注音編碼對照表!$D$3:$D$54, 注音符號表!F$10, 0)</f>
        <v>ㄉ</v>
      </c>
      <c r="G3" s="345" t="str" cm="1">
        <f t="array" ref="G3" xml:space="preserve"> INDEX(注音編碼對照表!$D$3:$D$54, 注音符號表!G$10, 0)</f>
        <v>ㄊ</v>
      </c>
      <c r="H3" s="345" t="str" cm="1">
        <f t="array" ref="H3" xml:space="preserve"> INDEX(注音編碼對照表!$D$3:$D$54, 注音符號表!H$10, 0)</f>
        <v>ㄋ</v>
      </c>
      <c r="I3" s="345" t="str" cm="1">
        <f t="array" ref="I3" xml:space="preserve"> INDEX(注音編碼對照表!$D$3:$D$54, 注音符號表!I$10, 0)</f>
        <v>ㄌ</v>
      </c>
      <c r="J3" s="345" t="str" cm="1">
        <f t="array" ref="J3" xml:space="preserve"> INDEX(注音編碼對照表!$D$3:$D$54, 注音符號表!J$10, 0)</f>
        <v>ㄗ</v>
      </c>
      <c r="K3" s="345" t="str" cm="1">
        <f t="array" ref="K3" xml:space="preserve"> INDEX(注音編碼對照表!$D$3:$D$54, 注音符號表!K$10, 0)</f>
        <v>ㄘ</v>
      </c>
      <c r="L3" s="345" t="str" cm="1">
        <f t="array" ref="L3" xml:space="preserve"> INDEX(注音編碼對照表!$D$3:$D$54, 注音符號表!L$10, 0)</f>
        <v>ㆡ</v>
      </c>
      <c r="M3" s="345" t="str" cm="1">
        <f t="array" ref="M3" xml:space="preserve"> INDEX(注音編碼對照表!$D$3:$D$54, 注音符號表!M$10, 0)</f>
        <v>ㄙ</v>
      </c>
      <c r="N3" s="345" t="str" cm="1">
        <f t="array" ref="N3" xml:space="preserve"> INDEX(注音編碼對照表!$D$3:$D$54, 注音符號表!N$10, 0)</f>
        <v>ㄐ</v>
      </c>
      <c r="O3" s="345" t="str" cm="1">
        <f t="array" ref="O3" xml:space="preserve"> INDEX(注音編碼對照表!$D$3:$D$54, 注音符號表!O$10, 0)</f>
        <v>ㄑ</v>
      </c>
      <c r="P3" s="345" t="str" cm="1">
        <f t="array" ref="P3" xml:space="preserve"> INDEX(注音編碼對照表!$D$3:$D$54, 注音符號表!P$10, 0)</f>
        <v>ㆢ</v>
      </c>
      <c r="Q3" s="345" t="str" cm="1">
        <f t="array" ref="Q3" xml:space="preserve"> INDEX(注音編碼對照表!$D$3:$D$54, 注音符號表!Q$10, 0)</f>
        <v>ㄒ</v>
      </c>
      <c r="R3" s="345" t="str" cm="1">
        <f t="array" ref="R3" xml:space="preserve"> INDEX(注音編碼對照表!$D$3:$D$54, 注音符號表!R$10, 0)</f>
        <v>ㄍ</v>
      </c>
      <c r="S3" s="345" t="str" cm="1">
        <f t="array" ref="S3" xml:space="preserve"> INDEX(注音編碼對照表!$D$3:$D$54, 注音符號表!S$10, 0)</f>
        <v>ㄎ</v>
      </c>
      <c r="T3" s="345" t="str" cm="1">
        <f t="array" ref="T3" xml:space="preserve"> INDEX(注音編碼對照表!$D$3:$D$54, 注音符號表!T$10, 0)</f>
        <v>ㆣ</v>
      </c>
      <c r="U3" s="345" t="str" cm="1">
        <f t="array" ref="U3" xml:space="preserve"> INDEX(注音編碼對照表!$D$3:$D$54, 注音符號表!U$10, 0)</f>
        <v>ㄫ</v>
      </c>
      <c r="V3" s="345" t="str" cm="1">
        <f t="array" ref="V3" xml:space="preserve"> INDEX(注音編碼對照表!$D$3:$D$54, 注音符號表!V$10, 0)</f>
        <v>ㄏ</v>
      </c>
      <c r="W3" s="346"/>
      <c r="X3" s="346"/>
      <c r="Y3" s="346"/>
    </row>
    <row r="4" spans="2:25" ht="45" customHeight="1">
      <c r="B4" s="466" t="str" cm="1">
        <f t="array" ref="B4" xml:space="preserve"> INDEX(注音編碼對照表!$F$3:$F$54, 注音符號表!B$10, 0)</f>
        <v>p</v>
      </c>
      <c r="C4" s="466" t="str" cm="1">
        <f t="array" ref="C4" xml:space="preserve"> INDEX(注音編碼對照表!$F$3:$F$54, 注音符號表!C$10, 0)</f>
        <v>pʰ</v>
      </c>
      <c r="D4" s="466" t="str" cm="1">
        <f t="array" ref="D4" xml:space="preserve"> INDEX(注音編碼對照表!$F$3:$F$54, 注音符號表!D$10, 0)</f>
        <v>b</v>
      </c>
      <c r="E4" s="466" t="str" cm="1">
        <f t="array" ref="E4" xml:space="preserve"> INDEX(注音編碼對照表!$F$3:$F$54, 注音符號表!E$10, 0)</f>
        <v>m</v>
      </c>
      <c r="F4" s="466" t="str" cm="1">
        <f t="array" ref="F4" xml:space="preserve"> INDEX(注音編碼對照表!$F$3:$F$54, 注音符號表!F$10, 0)</f>
        <v>t</v>
      </c>
      <c r="G4" s="466" t="str" cm="1">
        <f t="array" ref="G4" xml:space="preserve"> INDEX(注音編碼對照表!$F$3:$F$54, 注音符號表!G$10, 0)</f>
        <v>tʰ</v>
      </c>
      <c r="H4" s="466" t="str" cm="1">
        <f t="array" ref="H4" xml:space="preserve"> INDEX(注音編碼對照表!$F$3:$F$54, 注音符號表!H$10, 0)</f>
        <v>n</v>
      </c>
      <c r="I4" s="466" t="str" cm="1">
        <f t="array" ref="I4" xml:space="preserve"> INDEX(注音編碼對照表!$F$3:$F$54, 注音符號表!I$10, 0)</f>
        <v>l</v>
      </c>
      <c r="J4" s="466" t="str" cm="1">
        <f t="array" ref="J4" xml:space="preserve"> INDEX(注音編碼對照表!$F$3:$F$54, 注音符號表!J$10, 0)</f>
        <v>ts</v>
      </c>
      <c r="K4" s="466" t="str" cm="1">
        <f t="array" ref="K4" xml:space="preserve"> INDEX(注音編碼對照表!$F$3:$F$54, 注音符號表!K$10, 0)</f>
        <v>ʦʰ</v>
      </c>
      <c r="L4" s="466" t="str" cm="1">
        <f t="array" ref="L4" xml:space="preserve"> INDEX(注音編碼對照表!$F$3:$F$54, 注音符號表!L$10, 0)</f>
        <v>ʣ</v>
      </c>
      <c r="M4" s="466" t="str" cm="1">
        <f t="array" ref="M4" xml:space="preserve"> INDEX(注音編碼對照表!$F$3:$F$54, 注音符號表!M$10, 0)</f>
        <v>s</v>
      </c>
      <c r="N4" s="466" t="str" cm="1">
        <f t="array" ref="N4" xml:space="preserve"> INDEX(注音編碼對照表!$F$3:$F$54, 注音符號表!N$10, 0)</f>
        <v>ʨ</v>
      </c>
      <c r="O4" s="466" t="str" cm="1">
        <f t="array" ref="O4" xml:space="preserve"> INDEX(注音編碼對照表!$F$3:$F$54, 注音符號表!O$10, 0)</f>
        <v>ʨʰ</v>
      </c>
      <c r="P4" s="466" t="str" cm="1">
        <f t="array" ref="P4" xml:space="preserve"> INDEX(注音編碼對照表!$F$3:$F$54, 注音符號表!P$10, 0)</f>
        <v>ʥ</v>
      </c>
      <c r="Q4" s="466" t="str" cm="1">
        <f t="array" ref="Q4" xml:space="preserve"> INDEX(注音編碼對照表!$F$3:$F$54, 注音符號表!Q$10, 0)</f>
        <v>ɕ</v>
      </c>
      <c r="R4" s="466" t="str" cm="1">
        <f t="array" ref="R4" xml:space="preserve"> INDEX(注音編碼對照表!$F$3:$F$54, 注音符號表!R$10, 0)</f>
        <v>k</v>
      </c>
      <c r="S4" s="466" t="str" cm="1">
        <f t="array" ref="S4" xml:space="preserve"> INDEX(注音編碼對照表!$F$3:$F$54, 注音符號表!S$10, 0)</f>
        <v>kʰ</v>
      </c>
      <c r="T4" s="466" t="str" cm="1">
        <f t="array" ref="T4" xml:space="preserve"> INDEX(注音編碼對照表!$F$3:$F$54, 注音符號表!T$10, 0)</f>
        <v>g</v>
      </c>
      <c r="U4" s="466" t="str" cm="1">
        <f t="array" ref="U4" xml:space="preserve"> INDEX(注音編碼對照表!$F$3:$F$54, 注音符號表!U$10, 0)</f>
        <v>ŋ</v>
      </c>
      <c r="V4" s="466" t="str" cm="1">
        <f t="array" ref="V4" xml:space="preserve"> INDEX(注音編碼對照表!$F$3:$F$54, 注音符號表!V$10, 0)</f>
        <v>h</v>
      </c>
      <c r="W4" s="466"/>
      <c r="X4" s="466"/>
      <c r="Y4" s="466"/>
    </row>
    <row r="5" spans="2:25" s="344" customFormat="1" ht="45" customHeight="1">
      <c r="B5" s="422" t="s">
        <v>556</v>
      </c>
      <c r="C5" s="422"/>
      <c r="D5" s="422"/>
      <c r="E5" s="422"/>
      <c r="F5" s="422"/>
      <c r="G5" s="422"/>
      <c r="H5" s="422"/>
      <c r="I5" s="422"/>
      <c r="J5" s="422"/>
      <c r="K5" s="422"/>
      <c r="L5" s="422"/>
      <c r="M5" s="422"/>
      <c r="N5" s="422"/>
      <c r="O5" s="422"/>
      <c r="P5" s="422"/>
      <c r="Q5" s="422"/>
      <c r="R5" s="422"/>
      <c r="S5" s="422"/>
      <c r="T5" s="422"/>
      <c r="U5" s="422"/>
      <c r="V5" s="422"/>
      <c r="W5" s="422"/>
      <c r="X5" s="422"/>
      <c r="Y5" s="422"/>
    </row>
    <row r="6" spans="2:25" ht="45" customHeight="1">
      <c r="B6" s="345" t="str" cm="1">
        <f t="array" ref="B6" xml:space="preserve"> INDEX(注音編碼對照表!$D$3:$D$54, 注音符號表!B$11, 0)</f>
        <v>ㄚ</v>
      </c>
      <c r="C6" s="345" t="str" cm="1">
        <f t="array" ref="C6" xml:space="preserve"> INDEX(注音編碼對照表!$D$3:$D$54, 注音符號表!C$11, 0)</f>
        <v>ㆩ</v>
      </c>
      <c r="D6" s="345" t="str" cm="1">
        <f t="array" ref="D6" xml:space="preserve"> INDEX(注音編碼對照表!$D$3:$D$54, 注音符號表!D$11, 0)</f>
        <v>ㄧ</v>
      </c>
      <c r="E6" s="345" t="str" cm="1">
        <f t="array" ref="E6" xml:space="preserve"> INDEX(注音編碼對照表!$D$3:$D$54, 注音符號表!E$11, 0)</f>
        <v>ㆪ</v>
      </c>
      <c r="F6" s="345" t="str" cm="1">
        <f t="array" ref="F6" xml:space="preserve"> INDEX(注音編碼對照表!$D$3:$D$54, 注音符號表!F$11, 0)</f>
        <v>ㄨ</v>
      </c>
      <c r="G6" s="345" t="str" cm="1">
        <f t="array" ref="G6" xml:space="preserve"> INDEX(注音編碼對照表!$D$3:$D$54, 注音符號表!G$11, 0)</f>
        <v>ㆫ</v>
      </c>
      <c r="H6" s="345" t="str" cm="1">
        <f t="array" ref="H6" xml:space="preserve"> INDEX(注音編碼對照表!$D$3:$D$54, 注音符號表!H$11, 0)</f>
        <v>ㆤ</v>
      </c>
      <c r="I6" s="345" t="str" cm="1">
        <f t="array" ref="I6" xml:space="preserve"> INDEX(注音編碼對照表!$D$3:$D$54, 注音符號表!I$11, 0)</f>
        <v>ㆥ</v>
      </c>
      <c r="J6" s="345" t="str" cm="1">
        <f t="array" ref="J6" xml:space="preserve"> INDEX(注音編碼對照表!$D$3:$D$54, 注音符號表!J$11, 0)</f>
        <v>ㄜ</v>
      </c>
      <c r="K6" s="345" t="str" cm="1">
        <f t="array" ref="K6" xml:space="preserve"> INDEX(注音編碼對照表!$D$3:$D$54, 注音符號表!K$11, 0)</f>
        <v>ㆦ</v>
      </c>
      <c r="L6" s="345" t="str" cm="1">
        <f t="array" ref="L6" xml:space="preserve"> INDEX(注音編碼對照表!$D$3:$D$54, 注音符號表!L$11, 0)</f>
        <v>ㆧ</v>
      </c>
      <c r="M6" s="345" t="str" cm="1">
        <f t="array" ref="M6" xml:space="preserve"> INDEX(注音編碼對照表!$D$3:$D$54, 注音符號表!M$11, 0)</f>
        <v>ㄞ</v>
      </c>
      <c r="N6" s="345" t="str" cm="1">
        <f t="array" ref="N6" xml:space="preserve"> INDEX(注音編碼對照表!$D$3:$D$54, 注音符號表!N$11, 0)</f>
        <v>ㆮ</v>
      </c>
      <c r="O6" s="345" t="str" cm="1">
        <f t="array" ref="O6" xml:space="preserve"> INDEX(注音編碼對照表!$D$3:$D$54, 注音符號表!O$11, 0)</f>
        <v>ㄠ</v>
      </c>
      <c r="P6" s="345" t="str" cm="1">
        <f t="array" ref="P6" xml:space="preserve"> INDEX(注音編碼對照表!$D$3:$D$54, 注音符號表!P$11, 0)</f>
        <v>ㆯ</v>
      </c>
      <c r="Q6" s="345" t="str" cm="1">
        <f t="array" ref="Q6" xml:space="preserve"> INDEX(注音編碼對照表!$D$3:$D$54, 注音符號表!Q$11, 0)</f>
        <v>ㆨ</v>
      </c>
      <c r="R6" s="345" t="str" cm="1">
        <f t="array" ref="R6" xml:space="preserve"> INDEX(注音編碼對照表!$D$3:$D$54, 注音符號表!R$11, 0)</f>
        <v>ㆰ</v>
      </c>
      <c r="S6" s="345" t="str" cm="1">
        <f t="array" ref="S6" xml:space="preserve"> INDEX(注音編碼對照表!$D$3:$D$54, 注音符號表!S$11, 0)</f>
        <v>ㆱ</v>
      </c>
      <c r="T6" s="345" t="str" cm="1">
        <f t="array" ref="T6" xml:space="preserve"> INDEX(注音編碼對照表!$D$3:$D$54, 注音符號表!T$11, 0)</f>
        <v>ㆬ</v>
      </c>
      <c r="U6" s="345" t="str" cm="1">
        <f t="array" ref="U6" xml:space="preserve"> INDEX(注音編碼對照表!$D$3:$D$54, 注音符號表!U$11, 0)</f>
        <v>ㄢ</v>
      </c>
      <c r="V6" s="345" t="str" cm="1">
        <f t="array" ref="V6" xml:space="preserve"> INDEX(注音編碼對照表!$D$3:$D$54, 注音符號表!V$11, 0)</f>
        <v>ㄣ</v>
      </c>
      <c r="W6" s="345" t="str" cm="1">
        <f t="array" ref="W6" xml:space="preserve"> INDEX(注音編碼對照表!$D$3:$D$54, 注音符號表!W$11, 0)</f>
        <v>ㄤ</v>
      </c>
      <c r="X6" s="345" t="str" cm="1">
        <f t="array" ref="X6" xml:space="preserve"> INDEX(注音編碼對照表!$D$3:$D$54, 注音符號表!X$11, 0)</f>
        <v>ㆲ</v>
      </c>
      <c r="Y6" s="345" t="str" cm="1">
        <f t="array" ref="Y6" xml:space="preserve"> INDEX(注音編碼對照表!$D$3:$D$54, 注音符號表!Y$11, 0)</f>
        <v>ㆭ</v>
      </c>
    </row>
    <row r="7" spans="2:25" ht="45" customHeight="1">
      <c r="B7" s="466" t="str" cm="1">
        <f t="array" ref="B7" xml:space="preserve"> INDEX(注音編碼對照表!$F$3:$F$54, 注音符號表!B$11, 0)</f>
        <v>a</v>
      </c>
      <c r="C7" s="466" t="str" cm="1">
        <f t="array" ref="C7" xml:space="preserve"> INDEX(注音編碼對照表!$F$3:$F$54, 注音符號表!C$11, 0)</f>
        <v>ã</v>
      </c>
      <c r="D7" s="466" t="str" cm="1">
        <f t="array" ref="D7" xml:space="preserve"> INDEX(注音編碼對照表!$F$3:$F$54, 注音符號表!D$11, 0)</f>
        <v>i</v>
      </c>
      <c r="E7" s="466" t="str" cm="1">
        <f t="array" ref="E7" xml:space="preserve"> INDEX(注音編碼對照表!$F$3:$F$54, 注音符號表!E$11, 0)</f>
        <v>ĩ</v>
      </c>
      <c r="F7" s="466" t="str" cm="1">
        <f t="array" ref="F7" xml:space="preserve"> INDEX(注音編碼對照表!$F$3:$F$54, 注音符號表!F$11, 0)</f>
        <v>u</v>
      </c>
      <c r="G7" s="466" t="str" cm="1">
        <f t="array" ref="G7" xml:space="preserve"> INDEX(注音編碼對照表!$F$3:$F$54, 注音符號表!G$11, 0)</f>
        <v>ũ</v>
      </c>
      <c r="H7" s="466" t="str" cm="1">
        <f t="array" ref="H7" xml:space="preserve"> INDEX(注音編碼對照表!$F$3:$F$54, 注音符號表!H$11, 0)</f>
        <v>e</v>
      </c>
      <c r="I7" s="466" t="str" cm="1">
        <f t="array" ref="I7" xml:space="preserve"> INDEX(注音編碼對照表!$F$3:$F$54, 注音符號表!I$11, 0)</f>
        <v>ẽ</v>
      </c>
      <c r="J7" s="466" t="str" cm="1">
        <f t="array" ref="J7" xml:space="preserve"> INDEX(注音編碼對照表!$F$3:$F$54, 注音符號表!J$11, 0)</f>
        <v>ə</v>
      </c>
      <c r="K7" s="466" t="str" cm="1">
        <f t="array" ref="K7" xml:space="preserve"> INDEX(注音編碼對照表!$F$3:$F$54, 注音符號表!K$11, 0)</f>
        <v>ɔ</v>
      </c>
      <c r="L7" s="466" t="str" cm="1">
        <f t="array" ref="L7" xml:space="preserve"> INDEX(注音編碼對照表!$F$3:$F$54, 注音符號表!L$11, 0)</f>
        <v>ɔ̃</v>
      </c>
      <c r="M7" s="466" t="str" cm="1">
        <f t="array" ref="M7" xml:space="preserve"> INDEX(注音編碼對照表!$F$3:$F$54, 注音符號表!M$11, 0)</f>
        <v>ai</v>
      </c>
      <c r="N7" s="466" t="str" cm="1">
        <f t="array" ref="N7" xml:space="preserve"> INDEX(注音編碼對照表!$F$3:$F$54, 注音符號表!N$11, 0)</f>
        <v>ãĩ</v>
      </c>
      <c r="O7" s="466" t="str" cm="1">
        <f t="array" ref="O7" xml:space="preserve"> INDEX(注音編碼對照表!$F$3:$F$54, 注音符號表!O$11, 0)</f>
        <v>ɑu</v>
      </c>
      <c r="P7" s="466" t="str" cm="1">
        <f t="array" ref="P7" xml:space="preserve"> INDEX(注音編碼對照表!$F$3:$F$54, 注音符號表!P$11, 0)</f>
        <v>ãũ</v>
      </c>
      <c r="Q7" s="466" t="str" cm="1">
        <f t="array" ref="Q7" xml:space="preserve"> INDEX(注音編碼對照表!$F$3:$F$54, 注音符號表!Q$11, 0)</f>
        <v>ɨ</v>
      </c>
      <c r="R7" s="466" t="str" cm="1">
        <f t="array" ref="R7" xml:space="preserve"> INDEX(注音編碼對照表!$F$3:$F$54, 注音符號表!R$11, 0)</f>
        <v>am</v>
      </c>
      <c r="S7" s="466" t="str" cm="1">
        <f t="array" ref="S7" xml:space="preserve"> INDEX(注音編碼對照表!$F$3:$F$54, 注音符號表!S$11, 0)</f>
        <v>ɔm</v>
      </c>
      <c r="T7" s="466" t="str" cm="1">
        <f t="array" ref="T7" xml:space="preserve"> INDEX(注音編碼對照表!$F$3:$F$54, 注音符號表!T$11, 0)</f>
        <v>m̩</v>
      </c>
      <c r="U7" s="466" t="str" cm="1">
        <f t="array" ref="U7" xml:space="preserve"> INDEX(注音編碼對照表!$F$3:$F$54, 注音符號表!U$11, 0)</f>
        <v>an</v>
      </c>
      <c r="V7" s="466" t="str" cm="1">
        <f t="array" ref="V7" xml:space="preserve"> INDEX(注音編碼對照表!$F$3:$F$54, 注音符號表!V$11, 0)</f>
        <v>n</v>
      </c>
      <c r="W7" s="466" t="str" cm="1">
        <f t="array" ref="W7" xml:space="preserve"> INDEX(注音編碼對照表!$F$3:$F$54, 注音符號表!W$11, 0)</f>
        <v>ɑŋ</v>
      </c>
      <c r="X7" s="466" t="str" cm="1">
        <f t="array" ref="X7" xml:space="preserve"> INDEX(注音編碼對照表!$F$3:$F$54, 注音符號表!X$11, 0)</f>
        <v>ɔŋ</v>
      </c>
      <c r="Y7" s="466" t="str" cm="1">
        <f t="array" ref="Y7" xml:space="preserve"> INDEX(注音編碼對照表!$F$3:$F$54, 注音符號表!Y$11, 0)</f>
        <v>ŋ̍</v>
      </c>
    </row>
    <row r="8" spans="2:25" ht="9.9499999999999993" customHeight="1"/>
    <row r="10" spans="2:25">
      <c r="B10" s="438" cm="1">
        <f t="array" ref="B10" xml:space="preserve"> COLUMN() - COLUMN($A:$A)</f>
        <v>1</v>
      </c>
      <c r="C10" s="438" cm="1">
        <f t="array" ref="C10" xml:space="preserve"> COLUMN() - COLUMN($A:$A)</f>
        <v>2</v>
      </c>
      <c r="D10" s="438" cm="1">
        <f t="array" ref="D10" xml:space="preserve"> COLUMN() - COLUMN($A:$A)</f>
        <v>3</v>
      </c>
      <c r="E10" s="438" cm="1">
        <f t="array" ref="E10" xml:space="preserve"> COLUMN() - COLUMN($A:$A)</f>
        <v>4</v>
      </c>
      <c r="F10" s="438" cm="1">
        <f t="array" ref="F10" xml:space="preserve"> COLUMN() - COLUMN($A:$A)</f>
        <v>5</v>
      </c>
      <c r="G10" s="438" cm="1">
        <f t="array" ref="G10" xml:space="preserve"> COLUMN() - COLUMN($A:$A)</f>
        <v>6</v>
      </c>
      <c r="H10" s="438" cm="1">
        <f t="array" ref="H10" xml:space="preserve"> COLUMN() - COLUMN($A:$A)</f>
        <v>7</v>
      </c>
      <c r="I10" s="438" cm="1">
        <f t="array" ref="I10" xml:space="preserve"> COLUMN() - COLUMN($A:$A)</f>
        <v>8</v>
      </c>
      <c r="J10" s="438" cm="1">
        <f t="array" ref="J10" xml:space="preserve"> COLUMN() - COLUMN($A:$A)</f>
        <v>9</v>
      </c>
      <c r="K10" s="438" cm="1">
        <f t="array" ref="K10" xml:space="preserve"> COLUMN() - COLUMN($A:$A)</f>
        <v>10</v>
      </c>
      <c r="L10" s="438" cm="1">
        <f t="array" ref="L10" xml:space="preserve"> COLUMN() - COLUMN($A:$A)</f>
        <v>11</v>
      </c>
      <c r="M10" s="438" cm="1">
        <f t="array" ref="M10" xml:space="preserve"> COLUMN() - COLUMN($A:$A)</f>
        <v>12</v>
      </c>
      <c r="N10" s="438" cm="1">
        <f t="array" ref="N10" xml:space="preserve"> COLUMN() - COLUMN($A:$A)</f>
        <v>13</v>
      </c>
      <c r="O10" s="438" cm="1">
        <f t="array" ref="O10" xml:space="preserve"> COLUMN() - COLUMN($A:$A)</f>
        <v>14</v>
      </c>
      <c r="P10" s="438" cm="1">
        <f t="array" ref="P10" xml:space="preserve"> COLUMN() - COLUMN($A:$A)</f>
        <v>15</v>
      </c>
      <c r="Q10" s="438" cm="1">
        <f t="array" ref="Q10" xml:space="preserve"> COLUMN() - COLUMN($A:$A)</f>
        <v>16</v>
      </c>
      <c r="R10" s="438" cm="1">
        <f t="array" ref="R10" xml:space="preserve"> COLUMN() - COLUMN($A:$A)</f>
        <v>17</v>
      </c>
      <c r="S10" s="438" cm="1">
        <f t="array" ref="S10" xml:space="preserve"> COLUMN() - COLUMN($A:$A)</f>
        <v>18</v>
      </c>
      <c r="T10" s="438" cm="1">
        <f t="array" ref="T10" xml:space="preserve"> COLUMN() - COLUMN($A:$A)</f>
        <v>19</v>
      </c>
      <c r="U10" s="438" cm="1">
        <f t="array" ref="U10" xml:space="preserve"> COLUMN() - COLUMN($A:$A)</f>
        <v>20</v>
      </c>
      <c r="V10" s="438" cm="1">
        <f t="array" ref="V10" xml:space="preserve"> COLUMN() - COLUMN($A:$A)</f>
        <v>21</v>
      </c>
      <c r="W10" s="438" cm="1">
        <f t="array" ref="W10" xml:space="preserve"> COLUMN() - COLUMN($A:$A)</f>
        <v>22</v>
      </c>
      <c r="X10" s="438" cm="1">
        <f t="array" ref="X10" xml:space="preserve"> COLUMN() - COLUMN($A:$A)</f>
        <v>23</v>
      </c>
      <c r="Y10" s="438" cm="1">
        <f t="array" ref="Y10" xml:space="preserve"> COLUMN() - COLUMN($A:$A)</f>
        <v>24</v>
      </c>
    </row>
    <row r="11" spans="2:25">
      <c r="B11" s="438">
        <v>22</v>
      </c>
      <c r="C11" s="438">
        <v>23</v>
      </c>
      <c r="D11" s="438">
        <v>24</v>
      </c>
      <c r="E11" s="438">
        <v>25</v>
      </c>
      <c r="F11" s="438">
        <v>26</v>
      </c>
      <c r="G11" s="438">
        <v>27</v>
      </c>
      <c r="H11" s="438">
        <v>28</v>
      </c>
      <c r="I11" s="438">
        <v>29</v>
      </c>
      <c r="J11" s="438">
        <v>30</v>
      </c>
      <c r="K11" s="438">
        <v>31</v>
      </c>
      <c r="L11" s="438">
        <v>32</v>
      </c>
      <c r="M11" s="438">
        <v>33</v>
      </c>
      <c r="N11" s="438">
        <v>34</v>
      </c>
      <c r="O11" s="438">
        <v>35</v>
      </c>
      <c r="P11" s="438">
        <v>36</v>
      </c>
      <c r="Q11" s="438">
        <v>37</v>
      </c>
      <c r="R11" s="438">
        <v>38</v>
      </c>
      <c r="S11" s="438">
        <v>39</v>
      </c>
      <c r="T11" s="438">
        <v>40</v>
      </c>
      <c r="U11" s="438">
        <v>41</v>
      </c>
      <c r="V11" s="438">
        <v>42</v>
      </c>
      <c r="W11" s="438">
        <v>43</v>
      </c>
      <c r="X11" s="438">
        <v>44</v>
      </c>
      <c r="Y11" s="438">
        <v>45</v>
      </c>
    </row>
  </sheetData>
  <mergeCells count="2">
    <mergeCell ref="B2:Y2"/>
    <mergeCell ref="B5:Y5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2CE0-E9A9-48F4-BCEA-540962F85F28}">
  <sheetPr>
    <tabColor rgb="FF00B0F0"/>
  </sheetPr>
  <dimension ref="A1:CH69"/>
  <sheetViews>
    <sheetView showGridLines="0" tabSelected="1" zoomScale="90" zoomScaleNormal="90" workbookViewId="0">
      <selection activeCell="BJ4" sqref="BJ4:BJ55"/>
    </sheetView>
  </sheetViews>
  <sheetFormatPr defaultColWidth="7.19921875" defaultRowHeight="27.75"/>
  <cols>
    <col min="1" max="58" width="6.59765625" style="102" customWidth="1"/>
    <col min="59" max="59" width="3.8984375" style="102" customWidth="1"/>
    <col min="60" max="60" width="12.5" style="102" customWidth="1"/>
    <col min="61" max="62" width="12.5" style="111" customWidth="1"/>
    <col min="63" max="65" width="12.5" style="102" customWidth="1"/>
    <col min="66" max="66" width="7.19921875" style="102"/>
    <col min="67" max="67" width="27.296875" style="112" customWidth="1"/>
    <col min="68" max="68" width="7.19921875" style="102"/>
    <col min="69" max="69" width="7.19921875" style="113"/>
    <col min="70" max="70" width="23.796875" style="114" bestFit="1" customWidth="1"/>
    <col min="72" max="72" width="23.796875" style="114" bestFit="1" customWidth="1"/>
    <col min="75" max="16384" width="7.19921875" style="102"/>
  </cols>
  <sheetData>
    <row r="1" spans="1:72" ht="45" customHeight="1" thickBot="1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10"/>
      <c r="AS1" s="110"/>
      <c r="AT1" s="109"/>
      <c r="AU1" s="109"/>
      <c r="AV1" s="109"/>
    </row>
    <row r="2" spans="1:72" s="103" customFormat="1" ht="45" customHeight="1">
      <c r="A2" s="115"/>
      <c r="B2" s="429" t="s">
        <v>301</v>
      </c>
      <c r="C2" s="430"/>
      <c r="D2" s="431"/>
      <c r="E2" s="429" t="s">
        <v>302</v>
      </c>
      <c r="F2" s="430"/>
      <c r="G2" s="431"/>
      <c r="H2" s="432" t="s">
        <v>303</v>
      </c>
      <c r="I2" s="433"/>
      <c r="J2" s="434"/>
      <c r="K2" s="432" t="s">
        <v>304</v>
      </c>
      <c r="L2" s="433"/>
      <c r="M2" s="434"/>
      <c r="N2" s="435">
        <v>0.05</v>
      </c>
      <c r="O2" s="436"/>
      <c r="P2" s="437"/>
      <c r="Q2" s="432" t="s">
        <v>305</v>
      </c>
      <c r="R2" s="433"/>
      <c r="S2" s="434"/>
      <c r="T2" s="432" t="s">
        <v>306</v>
      </c>
      <c r="U2" s="433"/>
      <c r="V2" s="434"/>
      <c r="W2" s="423" t="s">
        <v>307</v>
      </c>
      <c r="X2" s="424"/>
      <c r="Y2" s="425"/>
      <c r="Z2" s="423" t="s">
        <v>308</v>
      </c>
      <c r="AA2" s="424"/>
      <c r="AB2" s="425"/>
      <c r="AC2" s="423" t="s">
        <v>309</v>
      </c>
      <c r="AD2" s="424"/>
      <c r="AE2" s="425"/>
      <c r="AF2" s="426" t="s">
        <v>310</v>
      </c>
      <c r="AG2" s="427"/>
      <c r="AH2" s="428"/>
      <c r="AI2" s="426" t="s">
        <v>311</v>
      </c>
      <c r="AJ2" s="427"/>
      <c r="AK2" s="428"/>
      <c r="AL2" s="115"/>
      <c r="AM2" s="115"/>
      <c r="AN2" s="115"/>
      <c r="AO2" s="115"/>
      <c r="AP2" s="115"/>
      <c r="AQ2" s="115"/>
      <c r="AR2" s="116"/>
      <c r="AS2" s="116"/>
      <c r="AT2" s="115"/>
      <c r="AU2" s="115"/>
      <c r="AV2" s="115"/>
      <c r="BG2" s="6" t="s">
        <v>312</v>
      </c>
      <c r="BH2" s="11"/>
      <c r="BI2" s="117"/>
      <c r="BJ2" s="117"/>
      <c r="BK2" s="102"/>
      <c r="BL2" s="11"/>
      <c r="BM2" s="11"/>
      <c r="BO2" s="112"/>
      <c r="BQ2" s="118"/>
      <c r="BR2" s="119"/>
      <c r="BT2" s="119"/>
    </row>
    <row r="3" spans="1:72" s="103" customFormat="1" ht="45" customHeight="1">
      <c r="A3" s="115"/>
      <c r="B3" s="330" t="str">
        <f ca="1">F19</f>
        <v>ㆠ</v>
      </c>
      <c r="C3" s="341"/>
      <c r="D3" s="338" t="s">
        <v>313</v>
      </c>
      <c r="E3" s="330"/>
      <c r="F3" s="120"/>
      <c r="G3" s="121"/>
      <c r="H3" s="122"/>
      <c r="I3" s="123"/>
      <c r="J3" s="124"/>
      <c r="K3" s="122"/>
      <c r="L3" s="123"/>
      <c r="M3" s="124"/>
      <c r="N3" s="125"/>
      <c r="O3" s="126"/>
      <c r="P3" s="127"/>
      <c r="Q3" s="122"/>
      <c r="R3" s="123"/>
      <c r="S3" s="124"/>
      <c r="T3" s="122"/>
      <c r="U3" s="123"/>
      <c r="V3" s="124"/>
      <c r="W3" s="336" t="str">
        <f ca="1">Z19</f>
        <v>ㆩ</v>
      </c>
      <c r="X3" s="128"/>
      <c r="Y3" s="340" t="str">
        <f ca="1">Z20</f>
        <v>ann</v>
      </c>
      <c r="Z3" s="336" t="str">
        <f ca="1">AK19</f>
        <v>ㆮ</v>
      </c>
      <c r="AA3" s="128"/>
      <c r="AB3" s="340" t="str">
        <f ca="1">AK20</f>
        <v>ainn</v>
      </c>
      <c r="AC3" s="336"/>
      <c r="AD3" s="128"/>
      <c r="AE3" s="129"/>
      <c r="AF3" s="336"/>
      <c r="AG3" s="128"/>
      <c r="AH3" s="129"/>
      <c r="AI3" s="336"/>
      <c r="AJ3" s="128"/>
      <c r="AK3" s="129"/>
      <c r="AL3" s="115"/>
      <c r="AM3" s="115"/>
      <c r="AN3" s="115"/>
      <c r="AO3" s="115"/>
      <c r="AP3" s="115"/>
      <c r="AQ3" s="115"/>
      <c r="AR3" s="116"/>
      <c r="AS3" s="116"/>
      <c r="AT3" s="115"/>
      <c r="AU3" s="115"/>
      <c r="AV3" s="115"/>
      <c r="BG3" s="2"/>
      <c r="BH3" s="354" t="s">
        <v>243</v>
      </c>
      <c r="BI3" s="355" t="s">
        <v>261</v>
      </c>
      <c r="BJ3" s="355" t="s">
        <v>552</v>
      </c>
      <c r="BK3" s="356" t="s">
        <v>250</v>
      </c>
      <c r="BL3" s="357" t="s">
        <v>263</v>
      </c>
      <c r="BM3" s="357"/>
      <c r="BO3" s="112"/>
      <c r="BQ3" s="118"/>
      <c r="BR3" s="119"/>
      <c r="BT3" s="119"/>
    </row>
    <row r="4" spans="1:72" ht="45" customHeight="1" thickBot="1">
      <c r="A4" s="130"/>
      <c r="B4" s="331" t="str">
        <f ca="1">D19</f>
        <v>ㄅ</v>
      </c>
      <c r="C4" s="131"/>
      <c r="D4" s="132" t="s">
        <v>21</v>
      </c>
      <c r="E4" s="331" t="str">
        <f ca="1">H19</f>
        <v>ㄉ</v>
      </c>
      <c r="F4" s="131"/>
      <c r="G4" s="132" t="s">
        <v>241</v>
      </c>
      <c r="H4" s="469" t="str">
        <f ca="1">BA19</f>
        <v>˪</v>
      </c>
      <c r="I4" s="470"/>
      <c r="J4" s="133" t="s">
        <v>314</v>
      </c>
      <c r="K4" s="469" t="str">
        <f ca="1">AZ19</f>
        <v>ˋ</v>
      </c>
      <c r="L4" s="470"/>
      <c r="M4" s="133" t="s">
        <v>315</v>
      </c>
      <c r="N4" s="467" t="str">
        <f ca="1" xml:space="preserve"> BB19</f>
        <v>˫</v>
      </c>
      <c r="O4" s="468"/>
      <c r="P4" s="133" t="s">
        <v>316</v>
      </c>
      <c r="Q4" s="469" t="str">
        <f ca="1" xml:space="preserve"> AY19</f>
        <v>ˊ</v>
      </c>
      <c r="R4" s="470"/>
      <c r="S4" s="133" t="s">
        <v>317</v>
      </c>
      <c r="T4" s="469" t="str">
        <f ca="1">BC19</f>
        <v>˙</v>
      </c>
      <c r="U4" s="470"/>
      <c r="V4" s="133" t="s">
        <v>318</v>
      </c>
      <c r="W4" s="337" t="str">
        <f ca="1">Y19</f>
        <v>ㄚ</v>
      </c>
      <c r="X4" s="134"/>
      <c r="Y4" s="135" t="str">
        <f ca="1">Y20</f>
        <v>a</v>
      </c>
      <c r="Z4" s="337" t="str">
        <f ca="1">AJ19</f>
        <v>ㄞ</v>
      </c>
      <c r="AA4" s="134"/>
      <c r="AB4" s="135" t="str">
        <f ca="1">AJ20</f>
        <v>ai</v>
      </c>
      <c r="AC4" s="337" t="str">
        <f ca="1">AR19</f>
        <v>ㄢ</v>
      </c>
      <c r="AD4" s="134"/>
      <c r="AE4" s="135" t="str">
        <f ca="1">AR20</f>
        <v>an</v>
      </c>
      <c r="AF4" s="337" t="str">
        <f ca="1">AN19</f>
        <v>ㆨ</v>
      </c>
      <c r="AG4" s="134"/>
      <c r="AH4" s="135" t="str">
        <f ca="1">AN20</f>
        <v>ir</v>
      </c>
      <c r="AI4" s="337"/>
      <c r="AJ4" s="134"/>
      <c r="AK4" s="135"/>
      <c r="AL4" s="130"/>
      <c r="AM4" s="130"/>
      <c r="AN4" s="130"/>
      <c r="AO4" s="130"/>
      <c r="AP4" s="130"/>
      <c r="AQ4" s="130"/>
      <c r="AR4" s="110"/>
      <c r="AS4" s="110"/>
      <c r="AT4" s="130"/>
      <c r="AU4" s="130"/>
      <c r="AV4" s="130"/>
      <c r="BG4" s="136">
        <f t="shared" ref="BG4:BG55" si="0" xml:space="preserve"> ROW() - 3</f>
        <v>1</v>
      </c>
      <c r="BH4" s="71" t="str">
        <f>注音編碼對照表!C3</f>
        <v>1</v>
      </c>
      <c r="BI4" s="334" t="str" cm="1">
        <f t="array" ref="BI4" xml:space="preserve"> INDEX( 注音編碼對照表[方音符號], MATCH(TRUE, EXACT(注音符號按鍵!$BH4, 注音編碼對照表[鍵盤按鍵]), 0))</f>
        <v>ㄅ</v>
      </c>
      <c r="BJ4" s="335" t="s">
        <v>20</v>
      </c>
      <c r="BK4" s="332" t="str" cm="1">
        <f t="array" ref="BK4" xml:space="preserve"> INDEX( 注音編碼對照表[國際音標], MATCH(TRUE, EXACT(注音符號按鍵!$BH4, 注音編碼對照表[鍵盤按鍵]), 0))</f>
        <v>p</v>
      </c>
      <c r="BL4" s="333" t="str" cm="1">
        <f t="array" ref="BL4" xml:space="preserve"> INDEX( 注音編碼對照表[台語音標], MATCH(TRUE, EXACT(注音符號按鍵!$BH4, 注音編碼對照表[鍵盤按鍵]), 0))</f>
        <v>p</v>
      </c>
      <c r="BM4" s="95"/>
      <c r="BO4" s="137" t="str">
        <f t="shared" ref="BO4:BO22" si="1" xml:space="preserve"> """" &amp; BH4 &amp; """: { commit: """ &amp; BI4 &amp; """ }"</f>
        <v>"1": { commit: "ㄅ" }</v>
      </c>
      <c r="BQ4" s="118">
        <f t="shared" ref="BQ4:BQ22" si="2">BG4</f>
        <v>1</v>
      </c>
      <c r="BR4" s="138" t="str">
        <f xml:space="preserve"> "- xform/" &amp; BK4 &amp; "/" &amp; BH4 &amp; "/"</f>
        <v>- xform/p/1/</v>
      </c>
      <c r="BT4" s="138" t="str">
        <f xml:space="preserve"> "- xform/" &amp; BH4 &amp; "/" &amp; BI4 &amp; "/"</f>
        <v>- xform/1/ㄅ/</v>
      </c>
    </row>
    <row r="5" spans="1:72" s="103" customFormat="1" ht="45" customHeight="1">
      <c r="A5" s="115"/>
      <c r="B5" s="115"/>
      <c r="C5" s="429" t="s">
        <v>319</v>
      </c>
      <c r="D5" s="430"/>
      <c r="E5" s="431"/>
      <c r="F5" s="429" t="s">
        <v>320</v>
      </c>
      <c r="G5" s="430"/>
      <c r="H5" s="431"/>
      <c r="I5" s="429" t="s">
        <v>231</v>
      </c>
      <c r="J5" s="430"/>
      <c r="K5" s="431"/>
      <c r="L5" s="429" t="s">
        <v>321</v>
      </c>
      <c r="M5" s="430"/>
      <c r="N5" s="431"/>
      <c r="O5" s="429" t="s">
        <v>269</v>
      </c>
      <c r="P5" s="430"/>
      <c r="Q5" s="431"/>
      <c r="R5" s="429" t="s">
        <v>278</v>
      </c>
      <c r="S5" s="430"/>
      <c r="T5" s="431"/>
      <c r="U5" s="423" t="s">
        <v>197</v>
      </c>
      <c r="V5" s="424"/>
      <c r="W5" s="425"/>
      <c r="X5" s="423" t="s">
        <v>205</v>
      </c>
      <c r="Y5" s="424"/>
      <c r="Z5" s="425"/>
      <c r="AA5" s="423" t="s">
        <v>201</v>
      </c>
      <c r="AB5" s="424"/>
      <c r="AC5" s="425"/>
      <c r="AD5" s="423" t="s">
        <v>267</v>
      </c>
      <c r="AE5" s="424"/>
      <c r="AF5" s="425"/>
      <c r="AG5" s="423" t="s">
        <v>322</v>
      </c>
      <c r="AH5" s="424"/>
      <c r="AI5" s="425"/>
      <c r="AJ5" s="423" t="s">
        <v>323</v>
      </c>
      <c r="AK5" s="424"/>
      <c r="AL5" s="425"/>
      <c r="AM5" s="426" t="s">
        <v>324</v>
      </c>
      <c r="AN5" s="427"/>
      <c r="AO5" s="428"/>
      <c r="AP5" s="115"/>
      <c r="AQ5" s="115"/>
      <c r="AR5" s="116"/>
      <c r="AS5" s="116"/>
      <c r="AT5" s="115"/>
      <c r="AU5" s="115"/>
      <c r="AV5" s="115"/>
      <c r="BG5" s="136">
        <f t="shared" si="0"/>
        <v>2</v>
      </c>
      <c r="BH5" s="71" t="str">
        <f>注音編碼對照表!C4</f>
        <v>q</v>
      </c>
      <c r="BI5" s="334" t="str" cm="1">
        <f t="array" ref="BI5" xml:space="preserve"> INDEX( 注音編碼對照表[方音符號], MATCH(TRUE, EXACT(注音符號按鍵!$BH5, 注音編碼對照表[鍵盤按鍵]), 0))</f>
        <v>ㄆ</v>
      </c>
      <c r="BJ5" s="335" t="s">
        <v>23</v>
      </c>
      <c r="BK5" s="332" t="str" cm="1">
        <f t="array" ref="BK5" xml:space="preserve"> INDEX( 注音編碼對照表[國際音標], MATCH(TRUE, EXACT(注音符號按鍵!$BH5, 注音編碼對照表[鍵盤按鍵]), 0))</f>
        <v>pʰ</v>
      </c>
      <c r="BL5" s="333" t="str" cm="1">
        <f t="array" ref="BL5" xml:space="preserve"> INDEX( 注音編碼對照表[台語音標], MATCH(TRUE, EXACT(注音符號按鍵!$BH5, 注音編碼對照表[鍵盤按鍵]), 0))</f>
        <v>ph</v>
      </c>
      <c r="BM5" s="95"/>
      <c r="BO5" s="137" t="str">
        <f t="shared" si="1"/>
        <v>"q": { commit: "ㄆ" }</v>
      </c>
      <c r="BQ5" s="118">
        <f t="shared" si="2"/>
        <v>2</v>
      </c>
      <c r="BR5" s="138" t="str">
        <f t="shared" ref="BR5:BR22" si="3" xml:space="preserve"> "- xform/" &amp; BK5 &amp; "/" &amp; BH5 &amp; "/"</f>
        <v>- xform/pʰ/q/</v>
      </c>
      <c r="BT5" s="138" t="str">
        <f t="shared" ref="BT5:BT22" si="4" xml:space="preserve"> "- xform/" &amp; BH5 &amp; "/" &amp; BI5 &amp; "/"</f>
        <v>- xform/q/ㄆ/</v>
      </c>
    </row>
    <row r="6" spans="1:72" s="103" customFormat="1" ht="45" customHeight="1">
      <c r="A6" s="115"/>
      <c r="B6" s="115"/>
      <c r="C6" s="330"/>
      <c r="D6" s="120"/>
      <c r="E6" s="121"/>
      <c r="F6" s="330"/>
      <c r="G6" s="120"/>
      <c r="H6" s="121"/>
      <c r="I6" s="330" t="str">
        <f ca="1">V19</f>
        <v>ㆣ</v>
      </c>
      <c r="J6" s="120"/>
      <c r="K6" s="338" t="str">
        <f ca="1">V20</f>
        <v>g</v>
      </c>
      <c r="L6" s="330"/>
      <c r="M6" s="120"/>
      <c r="N6" s="121"/>
      <c r="O6" s="330"/>
      <c r="P6" s="120"/>
      <c r="Q6" s="121"/>
      <c r="R6" s="330" t="str">
        <f>BJ16</f>
        <v>ㄐ</v>
      </c>
      <c r="S6" s="341"/>
      <c r="T6" s="338" t="str">
        <f>BL16</f>
        <v>zi-</v>
      </c>
      <c r="U6" s="336" t="str">
        <f ca="1">AB19</f>
        <v>ㆪ</v>
      </c>
      <c r="V6" s="128"/>
      <c r="W6" s="340" t="str">
        <f ca="1" xml:space="preserve"> AB20</f>
        <v>inn</v>
      </c>
      <c r="X6" s="336" t="str">
        <f ca="1">AI19</f>
        <v>ㆧ</v>
      </c>
      <c r="Y6" s="339"/>
      <c r="Z6" s="340" t="str">
        <f ca="1">AI20</f>
        <v>onn</v>
      </c>
      <c r="AA6" s="336"/>
      <c r="AB6" s="128"/>
      <c r="AC6" s="340"/>
      <c r="AD6" s="336"/>
      <c r="AE6" s="128"/>
      <c r="AF6" s="129"/>
      <c r="AG6" s="336"/>
      <c r="AH6" s="128"/>
      <c r="AI6" s="129"/>
      <c r="AJ6" s="336"/>
      <c r="AK6" s="128"/>
      <c r="AL6" s="129"/>
      <c r="AM6" s="336"/>
      <c r="AN6" s="128"/>
      <c r="AO6" s="129"/>
      <c r="AP6" s="115"/>
      <c r="AQ6" s="115"/>
      <c r="AR6" s="116"/>
      <c r="AS6" s="116"/>
      <c r="AT6" s="115"/>
      <c r="AU6" s="115"/>
      <c r="AV6" s="115"/>
      <c r="BG6" s="136">
        <f t="shared" si="0"/>
        <v>3</v>
      </c>
      <c r="BH6" s="71" t="str">
        <f>注音編碼對照表!C5</f>
        <v>!</v>
      </c>
      <c r="BI6" s="334" t="str" cm="1">
        <f t="array" ref="BI6" xml:space="preserve"> INDEX( 注音編碼對照表[方音符號], MATCH(TRUE, EXACT(注音符號按鍵!$BH6, 注音編碼對照表[鍵盤按鍵]), 0))</f>
        <v>ㆠ</v>
      </c>
      <c r="BJ6" s="335" t="s">
        <v>27</v>
      </c>
      <c r="BK6" s="332" t="str" cm="1">
        <f t="array" ref="BK6" xml:space="preserve"> INDEX( 注音編碼對照表[國際音標], MATCH(TRUE, EXACT(注音符號按鍵!$BH6, 注音編碼對照表[鍵盤按鍵]), 0))</f>
        <v>b</v>
      </c>
      <c r="BL6" s="333" t="str" cm="1">
        <f t="array" ref="BL6" xml:space="preserve"> INDEX( 注音編碼對照表[台語音標], MATCH(TRUE, EXACT(注音符號按鍵!$BH6, 注音編碼對照表[鍵盤按鍵]), 0))</f>
        <v>b</v>
      </c>
      <c r="BM6" s="95"/>
      <c r="BO6" s="137" t="str">
        <f t="shared" si="1"/>
        <v>"!": { commit: "ㆠ" }</v>
      </c>
      <c r="BQ6" s="118">
        <f t="shared" si="2"/>
        <v>3</v>
      </c>
      <c r="BR6" s="138" t="str">
        <f t="shared" si="3"/>
        <v>- xform/b/!/</v>
      </c>
      <c r="BT6" s="138" t="str">
        <f t="shared" si="4"/>
        <v>- xform/!/ㆠ/</v>
      </c>
    </row>
    <row r="7" spans="1:72" ht="45" customHeight="1" thickBot="1">
      <c r="A7" s="130"/>
      <c r="B7" s="130"/>
      <c r="C7" s="331" t="str">
        <f ca="1">E19</f>
        <v>ㄆ</v>
      </c>
      <c r="D7" s="131"/>
      <c r="E7" s="132" t="s">
        <v>24</v>
      </c>
      <c r="F7" s="331" t="str">
        <f ca="1">I19</f>
        <v>ㄊ</v>
      </c>
      <c r="G7" s="131"/>
      <c r="H7" s="132" t="s">
        <v>348</v>
      </c>
      <c r="I7" s="331" t="str">
        <f ca="1">T19</f>
        <v>ㄍ</v>
      </c>
      <c r="J7" s="131"/>
      <c r="K7" s="132" t="str">
        <f ca="1">T20</f>
        <v>k</v>
      </c>
      <c r="L7" s="331"/>
      <c r="M7" s="131"/>
      <c r="N7" s="132"/>
      <c r="O7" s="331"/>
      <c r="P7" s="131"/>
      <c r="Q7" s="132"/>
      <c r="R7" s="331" t="str">
        <f ca="1">L19</f>
        <v>ㄗ</v>
      </c>
      <c r="S7" s="131"/>
      <c r="T7" s="132" t="str">
        <f ca="1">L20</f>
        <v>z</v>
      </c>
      <c r="U7" s="337" t="str">
        <f ca="1" xml:space="preserve"> AA19</f>
        <v>ㄧ</v>
      </c>
      <c r="V7" s="134"/>
      <c r="W7" s="135" t="str">
        <f ca="1">AA20</f>
        <v>i</v>
      </c>
      <c r="X7" s="337" t="str">
        <f ca="1">AH19</f>
        <v>ㆦ</v>
      </c>
      <c r="Y7" s="134"/>
      <c r="Z7" s="135" t="str">
        <f ca="1">AH20</f>
        <v>oo</v>
      </c>
      <c r="AA7" s="337" t="str">
        <f ca="1">AU19</f>
        <v>ㆲ</v>
      </c>
      <c r="AB7" s="134"/>
      <c r="AC7" s="135" t="str">
        <f ca="1">AU20</f>
        <v>ong</v>
      </c>
      <c r="AD7" s="337" t="str">
        <f ca="1">AS19</f>
        <v>ㄣ</v>
      </c>
      <c r="AE7" s="134"/>
      <c r="AF7" s="135" t="str">
        <f ca="1" xml:space="preserve"> AS20</f>
        <v>-n</v>
      </c>
      <c r="AG7" s="337"/>
      <c r="AH7" s="134"/>
      <c r="AI7" s="135"/>
      <c r="AJ7" s="337"/>
      <c r="AK7" s="134"/>
      <c r="AL7" s="135"/>
      <c r="AM7" s="337"/>
      <c r="AN7" s="134"/>
      <c r="AO7" s="135"/>
      <c r="AP7" s="130"/>
      <c r="AQ7" s="130"/>
      <c r="AR7" s="110"/>
      <c r="AS7" s="110"/>
      <c r="AT7" s="130"/>
      <c r="AU7" s="130"/>
      <c r="AV7" s="130"/>
      <c r="BG7" s="136">
        <f t="shared" si="0"/>
        <v>4</v>
      </c>
      <c r="BH7" s="71" t="str">
        <f>注音編碼對照表!C6</f>
        <v>a</v>
      </c>
      <c r="BI7" s="334" t="str" cm="1">
        <f t="array" ref="BI7" xml:space="preserve"> INDEX( 注音編碼對照表[方音符號], MATCH(TRUE, EXACT(注音符號按鍵!$BH7, 注音編碼對照表[鍵盤按鍵]), 0))</f>
        <v>ㄇ</v>
      </c>
      <c r="BJ7" s="335" t="s">
        <v>83</v>
      </c>
      <c r="BK7" s="332" t="str" cm="1">
        <f t="array" ref="BK7" xml:space="preserve"> INDEX( 注音編碼對照表[國際音標], MATCH(TRUE, EXACT(注音符號按鍵!$BH7, 注音編碼對照表[鍵盤按鍵]), 0))</f>
        <v>m</v>
      </c>
      <c r="BL7" s="333" t="str" cm="1">
        <f t="array" ref="BL7" xml:space="preserve"> INDEX( 注音編碼對照表[台語音標], MATCH(TRUE, EXACT(注音符號按鍵!$BH7, 注音編碼對照表[鍵盤按鍵]), 0))</f>
        <v>m</v>
      </c>
      <c r="BM7" s="97"/>
      <c r="BO7" s="137" t="str">
        <f t="shared" si="1"/>
        <v>"a": { commit: "ㄇ" }</v>
      </c>
      <c r="BQ7" s="113">
        <f t="shared" si="2"/>
        <v>4</v>
      </c>
      <c r="BR7" s="138" t="str">
        <f t="shared" si="3"/>
        <v>- xform/m/a/</v>
      </c>
      <c r="BT7" s="138" t="str">
        <f t="shared" si="4"/>
        <v>- xform/a/ㄇ/</v>
      </c>
    </row>
    <row r="8" spans="1:72" s="103" customFormat="1" ht="45" customHeight="1">
      <c r="A8" s="115"/>
      <c r="B8" s="115"/>
      <c r="C8" s="139"/>
      <c r="D8" s="429" t="s">
        <v>268</v>
      </c>
      <c r="E8" s="430"/>
      <c r="F8" s="431"/>
      <c r="G8" s="429" t="s">
        <v>282</v>
      </c>
      <c r="H8" s="430"/>
      <c r="I8" s="431"/>
      <c r="J8" s="429" t="s">
        <v>164</v>
      </c>
      <c r="K8" s="430"/>
      <c r="L8" s="431"/>
      <c r="M8" s="429" t="s">
        <v>325</v>
      </c>
      <c r="N8" s="430"/>
      <c r="O8" s="431"/>
      <c r="P8" s="429" t="s">
        <v>140</v>
      </c>
      <c r="Q8" s="430"/>
      <c r="R8" s="431"/>
      <c r="S8" s="429" t="s">
        <v>280</v>
      </c>
      <c r="T8" s="430"/>
      <c r="U8" s="431"/>
      <c r="V8" s="423" t="s">
        <v>192</v>
      </c>
      <c r="W8" s="424"/>
      <c r="X8" s="425"/>
      <c r="Y8" s="423" t="s">
        <v>273</v>
      </c>
      <c r="Z8" s="424"/>
      <c r="AA8" s="425"/>
      <c r="AB8" s="423" t="s">
        <v>186</v>
      </c>
      <c r="AC8" s="424"/>
      <c r="AD8" s="425"/>
      <c r="AE8" s="423" t="s">
        <v>326</v>
      </c>
      <c r="AF8" s="424"/>
      <c r="AG8" s="425"/>
      <c r="AH8" s="426" t="s">
        <v>327</v>
      </c>
      <c r="AI8" s="427"/>
      <c r="AJ8" s="428"/>
      <c r="AK8" s="115"/>
      <c r="AL8" s="115"/>
      <c r="AM8" s="115"/>
      <c r="AN8" s="115"/>
      <c r="AO8" s="115"/>
      <c r="AP8" s="115"/>
      <c r="AQ8" s="115"/>
      <c r="AR8" s="116"/>
      <c r="AS8" s="116"/>
      <c r="AT8" s="115"/>
      <c r="AU8" s="115"/>
      <c r="AV8" s="115"/>
      <c r="BG8" s="136">
        <f t="shared" si="0"/>
        <v>5</v>
      </c>
      <c r="BH8" s="71" t="str">
        <f>注音編碼對照表!C7</f>
        <v>2</v>
      </c>
      <c r="BI8" s="334" t="str" cm="1">
        <f t="array" ref="BI8" xml:space="preserve"> INDEX( 注音編碼對照表[方音符號], MATCH(TRUE, EXACT(注音符號按鍵!$BH8, 注音編碼對照表[鍵盤按鍵]), 0))</f>
        <v>ㄉ</v>
      </c>
      <c r="BJ8" s="335" t="s">
        <v>29</v>
      </c>
      <c r="BK8" s="332" t="str" cm="1">
        <f t="array" ref="BK8" xml:space="preserve"> INDEX( 注音編碼對照表[國際音標], MATCH(TRUE, EXACT(注音符號按鍵!$BH8, 注音編碼對照表[鍵盤按鍵]), 0))</f>
        <v>t</v>
      </c>
      <c r="BL8" s="333" t="str" cm="1">
        <f t="array" ref="BL8" xml:space="preserve"> INDEX( 注音編碼對照表[台語音標], MATCH(TRUE, EXACT(注音符號按鍵!$BH8, 注音編碼對照表[鍵盤按鍵]), 0))</f>
        <v>t</v>
      </c>
      <c r="BM8" s="95"/>
      <c r="BO8" s="137" t="str">
        <f t="shared" si="1"/>
        <v>"2": { commit: "ㄉ" }</v>
      </c>
      <c r="BQ8" s="118">
        <f t="shared" si="2"/>
        <v>5</v>
      </c>
      <c r="BR8" s="138" t="str">
        <f t="shared" si="3"/>
        <v>- xform/t/2/</v>
      </c>
      <c r="BT8" s="138" t="str">
        <f t="shared" si="4"/>
        <v>- xform/2/ㄉ/</v>
      </c>
    </row>
    <row r="9" spans="1:72" s="103" customFormat="1" ht="45" customHeight="1">
      <c r="A9" s="115"/>
      <c r="B9" s="115"/>
      <c r="C9" s="139"/>
      <c r="D9" s="330"/>
      <c r="E9" s="120"/>
      <c r="F9" s="121"/>
      <c r="G9" s="330"/>
      <c r="H9" s="120"/>
      <c r="I9" s="121"/>
      <c r="J9" s="330"/>
      <c r="K9" s="120"/>
      <c r="L9" s="121"/>
      <c r="M9" s="330"/>
      <c r="N9" s="120"/>
      <c r="O9" s="121"/>
      <c r="P9" s="330"/>
      <c r="Q9" s="120"/>
      <c r="R9" s="121"/>
      <c r="S9" s="330" t="str">
        <f>BJ13</f>
        <v>ㄘ</v>
      </c>
      <c r="T9" s="120"/>
      <c r="U9" s="338" t="str">
        <f>BL17</f>
        <v>ci-</v>
      </c>
      <c r="V9" s="336" t="str">
        <f ca="1" xml:space="preserve"> AD19</f>
        <v>ㆫ</v>
      </c>
      <c r="W9" s="339"/>
      <c r="X9" s="340" t="str">
        <f ca="1" xml:space="preserve"> AD20</f>
        <v>unn</v>
      </c>
      <c r="Y9" s="336"/>
      <c r="Z9" s="128"/>
      <c r="AA9" s="129"/>
      <c r="AB9" s="336" t="str">
        <f ca="1">AM19</f>
        <v>ㆯ</v>
      </c>
      <c r="AC9" s="339"/>
      <c r="AD9" s="340" t="str">
        <f ca="1">AM20</f>
        <v>aunn</v>
      </c>
      <c r="AE9" s="336"/>
      <c r="AF9" s="339"/>
      <c r="AG9" s="340"/>
      <c r="AH9" s="336"/>
      <c r="AI9" s="128"/>
      <c r="AJ9" s="129"/>
      <c r="AK9" s="115"/>
      <c r="AL9" s="115"/>
      <c r="AM9" s="115"/>
      <c r="AN9" s="115"/>
      <c r="AO9" s="115"/>
      <c r="AP9" s="115"/>
      <c r="AQ9" s="115"/>
      <c r="AR9" s="116"/>
      <c r="AS9" s="116"/>
      <c r="AT9" s="115"/>
      <c r="AU9" s="115"/>
      <c r="AV9" s="115"/>
      <c r="BG9" s="136">
        <f t="shared" si="0"/>
        <v>6</v>
      </c>
      <c r="BH9" s="71" t="str">
        <f>注音編碼對照表!C8</f>
        <v>w</v>
      </c>
      <c r="BI9" s="334" t="str" cm="1">
        <f t="array" ref="BI9" xml:space="preserve"> INDEX( 注音編碼對照表[方音符號], MATCH(TRUE, EXACT(注音符號按鍵!$BH9, 注音編碼對照表[鍵盤按鍵]), 0))</f>
        <v>ㄊ</v>
      </c>
      <c r="BJ9" s="335" t="s">
        <v>31</v>
      </c>
      <c r="BK9" s="332" t="str" cm="1">
        <f t="array" ref="BK9" xml:space="preserve"> INDEX( 注音編碼對照表[國際音標], MATCH(TRUE, EXACT(注音符號按鍵!$BH9, 注音編碼對照表[鍵盤按鍵]), 0))</f>
        <v>tʰ</v>
      </c>
      <c r="BL9" s="333" t="str" cm="1">
        <f t="array" ref="BL9" xml:space="preserve"> INDEX( 注音編碼對照表[台語音標], MATCH(TRUE, EXACT(注音符號按鍵!$BH9, 注音編碼對照表[鍵盤按鍵]), 0))</f>
        <v>th</v>
      </c>
      <c r="BM9" s="95"/>
      <c r="BO9" s="137" t="str">
        <f t="shared" si="1"/>
        <v>"w": { commit: "ㄊ" }</v>
      </c>
      <c r="BQ9" s="118">
        <f t="shared" si="2"/>
        <v>6</v>
      </c>
      <c r="BR9" s="138" t="str">
        <f t="shared" si="3"/>
        <v>- xform/tʰ/w/</v>
      </c>
      <c r="BT9" s="138" t="str">
        <f t="shared" si="4"/>
        <v>- xform/w/ㄊ/</v>
      </c>
    </row>
    <row r="10" spans="1:72" ht="45" customHeight="1" thickBot="1">
      <c r="A10" s="130"/>
      <c r="B10" s="130"/>
      <c r="C10" s="130"/>
      <c r="D10" s="331" t="str">
        <f ca="1">G19</f>
        <v>ㄇ</v>
      </c>
      <c r="E10" s="131"/>
      <c r="F10" s="132" t="s">
        <v>84</v>
      </c>
      <c r="G10" s="331" t="str">
        <f ca="1">J19</f>
        <v>ㄋ</v>
      </c>
      <c r="H10" s="131"/>
      <c r="I10" s="132" t="s">
        <v>256</v>
      </c>
      <c r="J10" s="331" t="str">
        <f ca="1">U19</f>
        <v>ㄎ</v>
      </c>
      <c r="K10" s="131"/>
      <c r="L10" s="132" t="s">
        <v>39</v>
      </c>
      <c r="M10" s="331"/>
      <c r="N10" s="131"/>
      <c r="O10" s="132"/>
      <c r="P10" s="331" t="str">
        <f ca="1">W19</f>
        <v>ㄫ</v>
      </c>
      <c r="Q10" s="131"/>
      <c r="R10" s="132" t="str">
        <f ca="1">W20</f>
        <v>ng-</v>
      </c>
      <c r="S10" s="331" t="str">
        <f ca="1">M19</f>
        <v>ㄘ</v>
      </c>
      <c r="T10" s="131"/>
      <c r="U10" s="132" t="str">
        <f ca="1">M20</f>
        <v>c</v>
      </c>
      <c r="V10" s="337" t="str">
        <f ca="1" xml:space="preserve"> AC19</f>
        <v>ㄨ</v>
      </c>
      <c r="W10" s="134"/>
      <c r="X10" s="135" t="str">
        <f ca="1">AC20</f>
        <v>u</v>
      </c>
      <c r="Y10" s="337" t="str">
        <f ca="1">AG19</f>
        <v>ㄜ</v>
      </c>
      <c r="Z10" s="134"/>
      <c r="AA10" s="135" t="str">
        <f ca="1">AG20</f>
        <v>o</v>
      </c>
      <c r="AB10" s="337" t="str">
        <f ca="1">AL19</f>
        <v>ㄠ</v>
      </c>
      <c r="AC10" s="134"/>
      <c r="AD10" s="135" t="str">
        <f ca="1">AL20</f>
        <v>au</v>
      </c>
      <c r="AE10" s="337" t="str">
        <f ca="1">AT19</f>
        <v>ㄤ</v>
      </c>
      <c r="AF10" s="134"/>
      <c r="AG10" s="135" t="str">
        <f ca="1">AT20</f>
        <v>ang</v>
      </c>
      <c r="AH10" s="337"/>
      <c r="AI10" s="134"/>
      <c r="AJ10" s="135"/>
      <c r="AK10" s="130"/>
      <c r="AL10" s="130"/>
      <c r="AM10" s="130"/>
      <c r="AN10" s="130"/>
      <c r="AO10" s="130"/>
      <c r="AP10" s="130"/>
      <c r="AQ10" s="130"/>
      <c r="AR10" s="110"/>
      <c r="AS10" s="110"/>
      <c r="AT10" s="130"/>
      <c r="AU10" s="130"/>
      <c r="AV10" s="130"/>
      <c r="BG10" s="136">
        <f t="shared" si="0"/>
        <v>7</v>
      </c>
      <c r="BH10" s="71" t="str">
        <f>注音編碼對照表!C9</f>
        <v>s</v>
      </c>
      <c r="BI10" s="334" t="str" cm="1">
        <f t="array" ref="BI10" xml:space="preserve"> INDEX( 注音編碼對照表[方音符號], MATCH(TRUE, EXACT(注音符號按鍵!$BH10, 注音編碼對照表[鍵盤按鍵]), 0))</f>
        <v>ㄋ</v>
      </c>
      <c r="BJ10" s="335" t="s">
        <v>33</v>
      </c>
      <c r="BK10" s="332" t="str" cm="1">
        <f t="array" ref="BK10" xml:space="preserve"> INDEX( 注音編碼對照表[國際音標], MATCH(TRUE, EXACT(注音符號按鍵!$BH10, 注音編碼對照表[鍵盤按鍵]), 0))</f>
        <v>n</v>
      </c>
      <c r="BL10" s="333" t="str" cm="1">
        <f t="array" ref="BL10" xml:space="preserve"> INDEX( 注音編碼對照表[台語音標], MATCH(TRUE, EXACT(注音符號按鍵!$BH10, 注音編碼對照表[鍵盤按鍵]), 0))</f>
        <v>n</v>
      </c>
      <c r="BM10" s="95"/>
      <c r="BO10" s="137" t="str">
        <f t="shared" si="1"/>
        <v>"s": { commit: "ㄋ" }</v>
      </c>
      <c r="BQ10" s="113">
        <f t="shared" si="2"/>
        <v>7</v>
      </c>
      <c r="BR10" s="138" t="str">
        <f t="shared" si="3"/>
        <v>- xform/n/s/</v>
      </c>
      <c r="BT10" s="138" t="str">
        <f t="shared" si="4"/>
        <v>- xform/s/ㄋ/</v>
      </c>
    </row>
    <row r="11" spans="1:72" s="103" customFormat="1" ht="45" customHeight="1">
      <c r="A11" s="115"/>
      <c r="B11" s="115"/>
      <c r="C11" s="115"/>
      <c r="D11" s="115"/>
      <c r="E11" s="429" t="s">
        <v>279</v>
      </c>
      <c r="F11" s="430"/>
      <c r="G11" s="431"/>
      <c r="H11" s="429" t="s">
        <v>328</v>
      </c>
      <c r="I11" s="430"/>
      <c r="J11" s="431"/>
      <c r="K11" s="429" t="s">
        <v>281</v>
      </c>
      <c r="L11" s="430"/>
      <c r="M11" s="431"/>
      <c r="N11" s="429" t="s">
        <v>329</v>
      </c>
      <c r="O11" s="430"/>
      <c r="P11" s="431"/>
      <c r="Q11" s="429" t="s">
        <v>143</v>
      </c>
      <c r="R11" s="430"/>
      <c r="S11" s="431"/>
      <c r="T11" s="429" t="s">
        <v>330</v>
      </c>
      <c r="U11" s="430"/>
      <c r="V11" s="431"/>
      <c r="W11" s="423" t="s">
        <v>298</v>
      </c>
      <c r="X11" s="424"/>
      <c r="Y11" s="425"/>
      <c r="Z11" s="423" t="s">
        <v>331</v>
      </c>
      <c r="AA11" s="424"/>
      <c r="AB11" s="425"/>
      <c r="AC11" s="423" t="s">
        <v>332</v>
      </c>
      <c r="AD11" s="424"/>
      <c r="AE11" s="425"/>
      <c r="AF11" s="426" t="s">
        <v>333</v>
      </c>
      <c r="AG11" s="427"/>
      <c r="AH11" s="428"/>
      <c r="AI11" s="115"/>
      <c r="AJ11" s="115"/>
      <c r="AK11" s="115"/>
      <c r="AL11" s="115"/>
      <c r="AM11" s="115"/>
      <c r="AN11" s="115"/>
      <c r="AO11" s="115"/>
      <c r="AP11" s="115"/>
      <c r="AQ11" s="115"/>
      <c r="AR11" s="116"/>
      <c r="AS11" s="116"/>
      <c r="AT11" s="115"/>
      <c r="AU11" s="115"/>
      <c r="AV11" s="115"/>
      <c r="BG11" s="136">
        <f t="shared" si="0"/>
        <v>8</v>
      </c>
      <c r="BH11" s="71" t="str">
        <f>注音編碼對照表!C10</f>
        <v>x</v>
      </c>
      <c r="BI11" s="334" t="str" cm="1">
        <f t="array" ref="BI11" xml:space="preserve"> INDEX( 注音編碼對照表[方音符號], MATCH(TRUE, EXACT(注音符號按鍵!$BH11, 注音編碼對照表[鍵盤按鍵]), 0))</f>
        <v>ㄌ</v>
      </c>
      <c r="BJ11" s="335" t="s">
        <v>85</v>
      </c>
      <c r="BK11" s="332" t="str" cm="1">
        <f t="array" ref="BK11" xml:space="preserve"> INDEX( 注音編碼對照表[國際音標], MATCH(TRUE, EXACT(注音符號按鍵!$BH11, 注音編碼對照表[鍵盤按鍵]), 0))</f>
        <v>l</v>
      </c>
      <c r="BL11" s="333" t="str" cm="1">
        <f t="array" ref="BL11" xml:space="preserve"> INDEX( 注音編碼對照表[台語音標], MATCH(TRUE, EXACT(注音符號按鍵!$BH11, 注音編碼對照表[鍵盤按鍵]), 0))</f>
        <v>l</v>
      </c>
      <c r="BM11" s="95"/>
      <c r="BO11" s="137" t="str">
        <f t="shared" si="1"/>
        <v>"x": { commit: "ㄌ" }</v>
      </c>
      <c r="BQ11" s="118">
        <f t="shared" si="2"/>
        <v>8</v>
      </c>
      <c r="BR11" s="138" t="str">
        <f t="shared" si="3"/>
        <v>- xform/l/x/</v>
      </c>
      <c r="BT11" s="138" t="str">
        <f t="shared" si="4"/>
        <v>- xform/x/ㄌ/</v>
      </c>
    </row>
    <row r="12" spans="1:72" s="103" customFormat="1" ht="45" customHeight="1">
      <c r="A12" s="115"/>
      <c r="B12" s="115"/>
      <c r="C12" s="115"/>
      <c r="D12" s="115"/>
      <c r="E12" s="330"/>
      <c r="F12" s="120"/>
      <c r="G12" s="121"/>
      <c r="H12" s="330"/>
      <c r="I12" s="120"/>
      <c r="J12" s="121"/>
      <c r="K12" s="330"/>
      <c r="L12" s="120"/>
      <c r="M12" s="121"/>
      <c r="N12" s="330"/>
      <c r="O12" s="120"/>
      <c r="P12" s="121"/>
      <c r="Q12" s="330" t="str">
        <f ca="1">N19</f>
        <v>ㆡ</v>
      </c>
      <c r="R12" s="120"/>
      <c r="S12" s="338" t="str">
        <f>BL18</f>
        <v>ji-</v>
      </c>
      <c r="T12" s="330" t="str">
        <f>BJ17</f>
        <v>ㄑ</v>
      </c>
      <c r="U12" s="120"/>
      <c r="V12" s="338" t="str">
        <f>BL17</f>
        <v>ci-</v>
      </c>
      <c r="W12" s="336" t="str">
        <f ca="1" xml:space="preserve"> AO19</f>
        <v>ㆰ</v>
      </c>
      <c r="X12" s="339"/>
      <c r="Y12" s="340" t="str">
        <f ca="1" xml:space="preserve"> AO20</f>
        <v>am</v>
      </c>
      <c r="Z12" s="336" t="str">
        <f ca="1" xml:space="preserve"> AF19</f>
        <v>ㆥ</v>
      </c>
      <c r="AA12" s="128"/>
      <c r="AB12" s="340" t="str">
        <f ca="1" xml:space="preserve"> AF20</f>
        <v>enn</v>
      </c>
      <c r="AC12" s="336"/>
      <c r="AD12" s="128"/>
      <c r="AE12" s="129"/>
      <c r="AF12" s="336"/>
      <c r="AG12" s="128"/>
      <c r="AH12" s="129"/>
      <c r="AI12" s="115"/>
      <c r="AJ12" s="115"/>
      <c r="AK12" s="115"/>
      <c r="AL12" s="115"/>
      <c r="AM12" s="115"/>
      <c r="AN12" s="115"/>
      <c r="AO12" s="115"/>
      <c r="AP12" s="115"/>
      <c r="AQ12" s="115" t="s">
        <v>251</v>
      </c>
      <c r="AR12" s="116"/>
      <c r="AS12" s="116"/>
      <c r="AT12" s="115"/>
      <c r="AU12" s="115"/>
      <c r="AV12" s="115"/>
      <c r="BG12" s="136">
        <f t="shared" si="0"/>
        <v>9</v>
      </c>
      <c r="BH12" s="71" t="str">
        <f>注音編碼對照表!C11</f>
        <v>y</v>
      </c>
      <c r="BI12" s="334" t="str" cm="1">
        <f t="array" ref="BI12" xml:space="preserve"> INDEX( 注音編碼對照表[方音符號], MATCH(TRUE, EXACT(注音符號按鍵!$BH12, 注音編碼對照表[鍵盤按鍵]), 0))</f>
        <v>ㄗ</v>
      </c>
      <c r="BJ12" s="335" t="s">
        <v>43</v>
      </c>
      <c r="BK12" s="332" t="str" cm="1">
        <f t="array" ref="BK12" xml:space="preserve"> INDEX( 注音編碼對照表[國際音標], MATCH(TRUE, EXACT(注音符號按鍵!$BH12, 注音編碼對照表[鍵盤按鍵]), 0))</f>
        <v>ts</v>
      </c>
      <c r="BL12" s="333" t="str" cm="1">
        <f t="array" ref="BL12" xml:space="preserve"> INDEX( 注音編碼對照表[台語音標], MATCH(TRUE, EXACT(注音符號按鍵!$BH12, 注音編碼對照表[鍵盤按鍵]), 0))</f>
        <v>z</v>
      </c>
      <c r="BM12" s="95"/>
      <c r="BO12" s="137" t="str">
        <f t="shared" si="1"/>
        <v>"y": { commit: "ㄗ" }</v>
      </c>
      <c r="BQ12" s="118">
        <f t="shared" si="2"/>
        <v>9</v>
      </c>
      <c r="BR12" s="138" t="str">
        <f t="shared" si="3"/>
        <v>- xform/ts/y/</v>
      </c>
      <c r="BT12" s="138" t="str">
        <f t="shared" si="4"/>
        <v>- xform/y/ㄗ/</v>
      </c>
    </row>
    <row r="13" spans="1:72" ht="45" customHeight="1" thickBot="1">
      <c r="A13" s="130"/>
      <c r="B13" s="130"/>
      <c r="C13" s="130"/>
      <c r="D13" s="130"/>
      <c r="E13" s="331"/>
      <c r="F13" s="131"/>
      <c r="G13" s="132"/>
      <c r="H13" s="331" t="str">
        <f ca="1">K19</f>
        <v>ㄌ</v>
      </c>
      <c r="I13" s="131"/>
      <c r="J13" s="132" t="s">
        <v>290</v>
      </c>
      <c r="K13" s="331" t="str">
        <f ca="1">X19</f>
        <v>ㄏ</v>
      </c>
      <c r="L13" s="131"/>
      <c r="M13" s="132" t="str">
        <f ca="1">T20</f>
        <v>k</v>
      </c>
      <c r="N13" s="331"/>
      <c r="O13" s="131"/>
      <c r="P13" s="132"/>
      <c r="Q13" s="331" t="str">
        <f ca="1">N19</f>
        <v>ㆡ</v>
      </c>
      <c r="R13" s="131"/>
      <c r="S13" s="132" t="str">
        <f ca="1">N20</f>
        <v>j</v>
      </c>
      <c r="T13" s="331" t="str">
        <f ca="1">O19</f>
        <v>ㄙ</v>
      </c>
      <c r="U13" s="131"/>
      <c r="V13" s="132" t="str">
        <f ca="1">O20</f>
        <v>s</v>
      </c>
      <c r="W13" s="337" t="str">
        <f ca="1">AQ19</f>
        <v>ㆬ</v>
      </c>
      <c r="X13" s="134"/>
      <c r="Y13" s="135" t="str">
        <f ca="1">AQ20</f>
        <v>-m</v>
      </c>
      <c r="Z13" s="337" t="str">
        <f ca="1" xml:space="preserve"> AE19</f>
        <v>ㆤ</v>
      </c>
      <c r="AA13" s="134"/>
      <c r="AB13" s="135" t="str">
        <f ca="1" xml:space="preserve"> AE20</f>
        <v>e</v>
      </c>
      <c r="AC13" s="337" t="str">
        <f ca="1">AR19</f>
        <v>ㄢ</v>
      </c>
      <c r="AD13" s="134"/>
      <c r="AE13" s="135" t="str">
        <f ca="1">AR20</f>
        <v>an</v>
      </c>
      <c r="AF13" s="337" t="str">
        <f ca="1">AV19</f>
        <v>ㆭ</v>
      </c>
      <c r="AG13" s="134"/>
      <c r="AH13" s="135" t="str">
        <f ca="1">AV20</f>
        <v>-ng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10"/>
      <c r="AS13" s="110"/>
      <c r="AT13" s="130"/>
      <c r="AU13" s="130"/>
      <c r="AV13" s="130"/>
      <c r="BG13" s="136">
        <f t="shared" si="0"/>
        <v>10</v>
      </c>
      <c r="BH13" s="71" t="str">
        <f>注音編碼對照表!C12</f>
        <v>h</v>
      </c>
      <c r="BI13" s="334" t="str" cm="1">
        <f t="array" ref="BI13" xml:space="preserve"> INDEX( 注音編碼對照表[方音符號], MATCH(TRUE, EXACT(注音符號按鍵!$BH13, 注音編碼對照表[鍵盤按鍵]), 0))</f>
        <v>ㄘ</v>
      </c>
      <c r="BJ13" s="335" t="s">
        <v>46</v>
      </c>
      <c r="BK13" s="332" t="str" cm="1">
        <f t="array" ref="BK13" xml:space="preserve"> INDEX( 注音編碼對照表[國際音標], MATCH(TRUE, EXACT(注音符號按鍵!$BH13, 注音編碼對照表[鍵盤按鍵]), 0))</f>
        <v>ʦʰ</v>
      </c>
      <c r="BL13" s="333" t="str" cm="1">
        <f t="array" ref="BL13" xml:space="preserve"> INDEX( 注音編碼對照表[台語音標], MATCH(TRUE, EXACT(注音符號按鍵!$BH13, 注音編碼對照表[鍵盤按鍵]), 0))</f>
        <v>c</v>
      </c>
      <c r="BM13" s="95"/>
      <c r="BO13" s="137" t="str">
        <f t="shared" si="1"/>
        <v>"h": { commit: "ㄘ" }</v>
      </c>
      <c r="BQ13" s="113">
        <f t="shared" si="2"/>
        <v>10</v>
      </c>
      <c r="BR13" s="138" t="str">
        <f t="shared" si="3"/>
        <v>- xform/ʦʰ/h/</v>
      </c>
      <c r="BT13" s="138" t="str">
        <f t="shared" si="4"/>
        <v>- xform/h/ㄘ/</v>
      </c>
    </row>
    <row r="14" spans="1:72" ht="45" customHeight="1">
      <c r="BG14" s="136">
        <f t="shared" si="0"/>
        <v>11</v>
      </c>
      <c r="BH14" s="71" t="str">
        <f>注音編碼對照表!C13</f>
        <v>b</v>
      </c>
      <c r="BI14" s="334" t="str" cm="1">
        <f t="array" ref="BI14" xml:space="preserve"> INDEX( 注音編碼對照表[方音符號], MATCH(TRUE, EXACT(注音符號按鍵!$BH14, 注音編碼對照表[鍵盤按鍵]), 0))</f>
        <v>ㆡ</v>
      </c>
      <c r="BJ14" s="335" t="s">
        <v>48</v>
      </c>
      <c r="BK14" s="332" t="str" cm="1">
        <f t="array" ref="BK14" xml:space="preserve"> INDEX( 注音編碼對照表[國際音標], MATCH(TRUE, EXACT(注音符號按鍵!$BH14, 注音編碼對照表[鍵盤按鍵]), 0))</f>
        <v>ʣ</v>
      </c>
      <c r="BL14" s="333" t="str" cm="1">
        <f t="array" ref="BL14" xml:space="preserve"> INDEX( 注音編碼對照表[台語音標], MATCH(TRUE, EXACT(注音符號按鍵!$BH14, 注音編碼對照表[鍵盤按鍵]), 0))</f>
        <v>j</v>
      </c>
      <c r="BM14" s="95"/>
      <c r="BO14" s="137" t="str">
        <f t="shared" si="1"/>
        <v>"b": { commit: "ㆡ" }</v>
      </c>
      <c r="BQ14" s="113">
        <f t="shared" si="2"/>
        <v>11</v>
      </c>
      <c r="BR14" s="138" t="str">
        <f t="shared" si="3"/>
        <v>- xform/ʣ/b/</v>
      </c>
      <c r="BT14" s="138" t="str">
        <f t="shared" si="4"/>
        <v>- xform/b/ㆡ/</v>
      </c>
    </row>
    <row r="15" spans="1:72" s="104" customFormat="1" ht="45" customHeight="1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10"/>
      <c r="AS15" s="110"/>
      <c r="AT15" s="130"/>
      <c r="AU15" s="130"/>
      <c r="AV15" s="130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36">
        <f t="shared" si="0"/>
        <v>12</v>
      </c>
      <c r="BH15" s="71" t="str">
        <f>注音編碼對照表!C14</f>
        <v>n</v>
      </c>
      <c r="BI15" s="334" t="str" cm="1">
        <f t="array" ref="BI15" xml:space="preserve"> INDEX( 注音編碼對照表[方音符號], MATCH(TRUE, EXACT(注音符號按鍵!$BH15, 注音編碼對照表[鍵盤按鍵]), 0))</f>
        <v>ㄙ</v>
      </c>
      <c r="BJ15" s="335" t="s">
        <v>50</v>
      </c>
      <c r="BK15" s="332" t="str" cm="1">
        <f t="array" ref="BK15" xml:space="preserve"> INDEX( 注音編碼對照表[國際音標], MATCH(TRUE, EXACT(注音符號按鍵!$BH15, 注音編碼對照表[鍵盤按鍵]), 0))</f>
        <v>s</v>
      </c>
      <c r="BL15" s="333" t="str" cm="1">
        <f t="array" ref="BL15" xml:space="preserve"> INDEX( 注音編碼對照表[台語音標], MATCH(TRUE, EXACT(注音符號按鍵!$BH15, 注音編碼對照表[鍵盤按鍵]), 0))</f>
        <v>s</v>
      </c>
      <c r="BM15" s="95"/>
      <c r="BO15" s="137" t="str">
        <f t="shared" si="1"/>
        <v>"n": { commit: "ㄙ" }</v>
      </c>
      <c r="BQ15" s="140">
        <f t="shared" si="2"/>
        <v>12</v>
      </c>
      <c r="BR15" s="138" t="str">
        <f t="shared" si="3"/>
        <v>- xform/s/n/</v>
      </c>
      <c r="BT15" s="138" t="str">
        <f t="shared" si="4"/>
        <v>- xform/n/ㄙ/</v>
      </c>
    </row>
    <row r="16" spans="1:72" s="105" customFormat="1" ht="45" customHeight="1">
      <c r="A16" s="141"/>
      <c r="B16" s="142" t="s">
        <v>14</v>
      </c>
      <c r="C16" s="143"/>
      <c r="D16" s="144" cm="1">
        <f t="array" ref="D16" xml:space="preserve"> COLUMN() - COLUMN($C:$C)</f>
        <v>1</v>
      </c>
      <c r="E16" s="144" cm="1">
        <f t="array" ref="E16" xml:space="preserve"> COLUMN() - COLUMN($C:$C)</f>
        <v>2</v>
      </c>
      <c r="F16" s="144" cm="1">
        <f t="array" ref="F16" xml:space="preserve"> COLUMN() - COLUMN($C:$C)</f>
        <v>3</v>
      </c>
      <c r="G16" s="144" cm="1">
        <f t="array" ref="G16" xml:space="preserve"> COLUMN() - COLUMN($C:$C)</f>
        <v>4</v>
      </c>
      <c r="H16" s="144" cm="1">
        <f t="array" ref="H16" xml:space="preserve"> COLUMN() - COLUMN($C:$C)</f>
        <v>5</v>
      </c>
      <c r="I16" s="144" cm="1">
        <f t="array" ref="I16" xml:space="preserve"> COLUMN() - COLUMN($C:$C)</f>
        <v>6</v>
      </c>
      <c r="J16" s="144" cm="1">
        <f t="array" ref="J16" xml:space="preserve"> COLUMN() - COLUMN($C:$C)</f>
        <v>7</v>
      </c>
      <c r="K16" s="144" cm="1">
        <f t="array" ref="K16" xml:space="preserve"> COLUMN() - COLUMN($C:$C)</f>
        <v>8</v>
      </c>
      <c r="L16" s="144" cm="1">
        <f t="array" ref="L16" xml:space="preserve"> COLUMN() - COLUMN($C:$C)</f>
        <v>9</v>
      </c>
      <c r="M16" s="144" cm="1">
        <f t="array" ref="M16" xml:space="preserve"> COLUMN() - COLUMN($C:$C)</f>
        <v>10</v>
      </c>
      <c r="N16" s="144" cm="1">
        <f t="array" ref="N16" xml:space="preserve"> COLUMN() - COLUMN($C:$C)</f>
        <v>11</v>
      </c>
      <c r="O16" s="144" cm="1">
        <f t="array" ref="O16" xml:space="preserve"> COLUMN() - COLUMN($C:$C)</f>
        <v>12</v>
      </c>
      <c r="P16" s="144" cm="1">
        <f t="array" ref="P16" xml:space="preserve"> COLUMN() - COLUMN($C:$C)</f>
        <v>13</v>
      </c>
      <c r="Q16" s="144" cm="1">
        <f t="array" ref="Q16" xml:space="preserve"> COLUMN() - COLUMN($C:$C)</f>
        <v>14</v>
      </c>
      <c r="R16" s="144" cm="1">
        <f t="array" ref="R16" xml:space="preserve"> COLUMN() - COLUMN($C:$C)</f>
        <v>15</v>
      </c>
      <c r="S16" s="144" cm="1">
        <f t="array" ref="S16" xml:space="preserve"> COLUMN() - COLUMN($C:$C)</f>
        <v>16</v>
      </c>
      <c r="T16" s="144" cm="1">
        <f t="array" ref="T16" xml:space="preserve"> COLUMN() - COLUMN($C:$C)</f>
        <v>17</v>
      </c>
      <c r="U16" s="144" cm="1">
        <f t="array" ref="U16" xml:space="preserve"> COLUMN() - COLUMN($C:$C)</f>
        <v>18</v>
      </c>
      <c r="V16" s="144" cm="1">
        <f t="array" ref="V16" xml:space="preserve"> COLUMN() - COLUMN($C:$C)</f>
        <v>19</v>
      </c>
      <c r="W16" s="144" cm="1">
        <f t="array" ref="W16" xml:space="preserve"> COLUMN() - COLUMN($C:$C)</f>
        <v>20</v>
      </c>
      <c r="X16" s="144" cm="1">
        <f t="array" ref="X16" xml:space="preserve"> COLUMN() - COLUMN($C:$C)</f>
        <v>21</v>
      </c>
      <c r="Y16" s="145" cm="1">
        <f t="array" ref="Y16" xml:space="preserve"> COLUMN() - COLUMN($C:$C)</f>
        <v>22</v>
      </c>
      <c r="Z16" s="145" cm="1">
        <f t="array" ref="Z16" xml:space="preserve"> COLUMN() - COLUMN($C:$C)</f>
        <v>23</v>
      </c>
      <c r="AA16" s="145" cm="1">
        <f t="array" ref="AA16" xml:space="preserve"> COLUMN() - COLUMN($C:$C)</f>
        <v>24</v>
      </c>
      <c r="AB16" s="145" cm="1">
        <f t="array" ref="AB16" xml:space="preserve"> COLUMN() - COLUMN($C:$C)</f>
        <v>25</v>
      </c>
      <c r="AC16" s="145" cm="1">
        <f t="array" ref="AC16" xml:space="preserve"> COLUMN() - COLUMN($C:$C)</f>
        <v>26</v>
      </c>
      <c r="AD16" s="145" cm="1">
        <f t="array" ref="AD16" xml:space="preserve"> COLUMN() - COLUMN($C:$C)</f>
        <v>27</v>
      </c>
      <c r="AE16" s="145" cm="1">
        <f t="array" ref="AE16" xml:space="preserve"> COLUMN() - COLUMN($C:$C)</f>
        <v>28</v>
      </c>
      <c r="AF16" s="145" cm="1">
        <f t="array" ref="AF16" xml:space="preserve"> COLUMN() - COLUMN($C:$C)</f>
        <v>29</v>
      </c>
      <c r="AG16" s="145" cm="1">
        <f t="array" ref="AG16" xml:space="preserve"> COLUMN() - COLUMN($C:$C)</f>
        <v>30</v>
      </c>
      <c r="AH16" s="145" cm="1">
        <f t="array" ref="AH16" xml:space="preserve"> COLUMN() - COLUMN($C:$C)</f>
        <v>31</v>
      </c>
      <c r="AI16" s="145" cm="1">
        <f t="array" ref="AI16" xml:space="preserve"> COLUMN() - COLUMN($C:$C)</f>
        <v>32</v>
      </c>
      <c r="AJ16" s="145" cm="1">
        <f t="array" ref="AJ16" xml:space="preserve"> COLUMN() - COLUMN($C:$C)</f>
        <v>33</v>
      </c>
      <c r="AK16" s="145" cm="1">
        <f t="array" ref="AK16" xml:space="preserve"> COLUMN() - COLUMN($C:$C)</f>
        <v>34</v>
      </c>
      <c r="AL16" s="145" cm="1">
        <f t="array" ref="AL16" xml:space="preserve"> COLUMN() - COLUMN($C:$C)</f>
        <v>35</v>
      </c>
      <c r="AM16" s="145" cm="1">
        <f t="array" ref="AM16" xml:space="preserve"> COLUMN() - COLUMN($C:$C)</f>
        <v>36</v>
      </c>
      <c r="AN16" s="145" cm="1">
        <f t="array" ref="AN16" xml:space="preserve"> COLUMN() - COLUMN($C:$C)</f>
        <v>37</v>
      </c>
      <c r="AO16" s="145" cm="1">
        <f t="array" ref="AO16" xml:space="preserve"> COLUMN() - COLUMN($C:$C)</f>
        <v>38</v>
      </c>
      <c r="AP16" s="145" cm="1">
        <f t="array" ref="AP16" xml:space="preserve"> COLUMN() - COLUMN($C:$C)</f>
        <v>39</v>
      </c>
      <c r="AQ16" s="145" cm="1">
        <f t="array" ref="AQ16" xml:space="preserve"> COLUMN() - COLUMN($C:$C)</f>
        <v>40</v>
      </c>
      <c r="AR16" s="145" cm="1">
        <f t="array" ref="AR16" xml:space="preserve"> COLUMN() - COLUMN($C:$C)</f>
        <v>41</v>
      </c>
      <c r="AS16" s="145" cm="1">
        <f t="array" ref="AS16" xml:space="preserve"> COLUMN() - COLUMN($C:$C)</f>
        <v>42</v>
      </c>
      <c r="AT16" s="145" cm="1">
        <f t="array" ref="AT16" xml:space="preserve"> COLUMN() - COLUMN($C:$C)</f>
        <v>43</v>
      </c>
      <c r="AU16" s="145" cm="1">
        <f t="array" ref="AU16" xml:space="preserve"> COLUMN() - COLUMN($C:$C)</f>
        <v>44</v>
      </c>
      <c r="AV16" s="145" cm="1">
        <f t="array" ref="AV16" xml:space="preserve"> COLUMN() - COLUMN($C:$C)</f>
        <v>45</v>
      </c>
      <c r="AW16" s="145" cm="1">
        <f t="array" ref="AW16" xml:space="preserve"> COLUMN() - COLUMN($C:$C)</f>
        <v>46</v>
      </c>
      <c r="AX16" s="146" cm="1">
        <f t="array" ref="AX16" xml:space="preserve"> COLUMN() - COLUMN($C:$C)</f>
        <v>47</v>
      </c>
      <c r="AY16" s="146" cm="1">
        <f t="array" ref="AY16" xml:space="preserve"> COLUMN() - COLUMN($C:$C)</f>
        <v>48</v>
      </c>
      <c r="AZ16" s="146" cm="1">
        <f t="array" ref="AZ16" xml:space="preserve"> COLUMN() - COLUMN($C:$C)</f>
        <v>49</v>
      </c>
      <c r="BA16" s="146" cm="1">
        <f t="array" ref="BA16" xml:space="preserve"> COLUMN() - COLUMN($C:$C)</f>
        <v>50</v>
      </c>
      <c r="BB16" s="146" cm="1">
        <f t="array" ref="BB16" xml:space="preserve"> COLUMN() - COLUMN($C:$C)</f>
        <v>51</v>
      </c>
      <c r="BC16" s="146" cm="1">
        <f t="array" ref="BC16" xml:space="preserve"> COLUMN() - COLUMN($C:$C)</f>
        <v>52</v>
      </c>
      <c r="BD16" s="103"/>
      <c r="BE16" s="103"/>
      <c r="BF16" s="103"/>
      <c r="BG16" s="136">
        <f t="shared" si="0"/>
        <v>13</v>
      </c>
      <c r="BH16" s="71" t="str">
        <f>注音編碼對照表!C15</f>
        <v>Y</v>
      </c>
      <c r="BI16" s="334" t="str" cm="1">
        <f t="array" ref="BI16" xml:space="preserve"> INDEX( 注音編碼對照表[方音符號], MATCH(TRUE, EXACT(注音符號按鍵!$BH16, 注音編碼對照表[鍵盤按鍵]), 0))</f>
        <v>ㄐ</v>
      </c>
      <c r="BJ16" s="335" t="s">
        <v>89</v>
      </c>
      <c r="BK16" s="332" t="str" cm="1">
        <f t="array" ref="BK16" xml:space="preserve"> INDEX( 注音編碼對照表[國際音標], MATCH(TRUE, EXACT(注音符號按鍵!$BH16, 注音編碼對照表[鍵盤按鍵]), 0))</f>
        <v>ʨ</v>
      </c>
      <c r="BL16" s="333" t="str" cm="1">
        <f t="array" ref="BL16" xml:space="preserve"> INDEX( 注音編碼對照表[台語音標], MATCH(TRUE, EXACT(注音符號按鍵!$BH16, 注音編碼對照表[鍵盤按鍵]), 0))</f>
        <v>zi-</v>
      </c>
      <c r="BM16" s="95"/>
      <c r="BO16" s="137" t="str">
        <f t="shared" si="1"/>
        <v>"Y": { commit: "ㄐ" }</v>
      </c>
      <c r="BQ16" s="106">
        <f t="shared" si="2"/>
        <v>13</v>
      </c>
      <c r="BR16" s="138" t="str">
        <f t="shared" si="3"/>
        <v>- xform/ʨ/Y/</v>
      </c>
      <c r="BT16" s="138" t="str">
        <f t="shared" si="4"/>
        <v>- xform/Y/ㄐ/</v>
      </c>
    </row>
    <row r="17" spans="1:86" s="105" customFormat="1" ht="45" customHeight="1">
      <c r="A17" s="147"/>
      <c r="B17" s="148" t="s">
        <v>19</v>
      </c>
      <c r="C17" s="149"/>
      <c r="D17" s="150" t="str" cm="1">
        <f t="array" aca="1" ref="D17" ca="1">INDIRECT(ADDRESS(ROW($BH$4)+D$16-1, COLUMN($BH$4)))</f>
        <v>1</v>
      </c>
      <c r="E17" s="150" t="str" cm="1">
        <f t="array" aca="1" ref="E17" ca="1">INDIRECT(ADDRESS(ROW($BH$4)+E$16-1, COLUMN($BH$4)))</f>
        <v>q</v>
      </c>
      <c r="F17" s="150" t="str" cm="1">
        <f t="array" aca="1" ref="F17" ca="1">INDIRECT(ADDRESS(ROW($BH$4)+F$16-1, COLUMN($BH$4)))</f>
        <v>!</v>
      </c>
      <c r="G17" s="150" t="str" cm="1">
        <f t="array" aca="1" ref="G17" ca="1">INDIRECT(ADDRESS(ROW($BH$4)+G$16-1, COLUMN($BH$4)))</f>
        <v>a</v>
      </c>
      <c r="H17" s="150" t="str" cm="1">
        <f t="array" aca="1" ref="H17" ca="1">INDIRECT(ADDRESS(ROW($BH$4)+H$16-1, COLUMN($BH$4)))</f>
        <v>2</v>
      </c>
      <c r="I17" s="150" t="str" cm="1">
        <f t="array" aca="1" ref="I17" ca="1">INDIRECT(ADDRESS(ROW($BH$4)+I$16-1, COLUMN($BH$4)))</f>
        <v>w</v>
      </c>
      <c r="J17" s="150" t="str" cm="1">
        <f t="array" aca="1" ref="J17" ca="1">INDIRECT(ADDRESS(ROW($BH$4)+J$16-1, COLUMN($BH$4)))</f>
        <v>s</v>
      </c>
      <c r="K17" s="150" t="str" cm="1">
        <f t="array" aca="1" ref="K17" ca="1">INDIRECT(ADDRESS(ROW($BH$4)+K$16-1, COLUMN($BH$4)))</f>
        <v>x</v>
      </c>
      <c r="L17" s="150" t="str" cm="1">
        <f t="array" aca="1" ref="L17" ca="1">INDIRECT(ADDRESS(ROW($BH$4)+L$16-1, COLUMN($BH$4)))</f>
        <v>y</v>
      </c>
      <c r="M17" s="150" t="str" cm="1">
        <f t="array" aca="1" ref="M17" ca="1">INDIRECT(ADDRESS(ROW($BH$4)+M$16-1, COLUMN($BH$4)))</f>
        <v>h</v>
      </c>
      <c r="N17" s="150" t="str" cm="1">
        <f t="array" aca="1" ref="N17" ca="1">INDIRECT(ADDRESS(ROW($BH$4)+N$16-1, COLUMN($BH$4)))</f>
        <v>b</v>
      </c>
      <c r="O17" s="150" t="str" cm="1">
        <f t="array" aca="1" ref="O17" ca="1">INDIRECT(ADDRESS(ROW($BH$4)+O$16-1, COLUMN($BH$4)))</f>
        <v>n</v>
      </c>
      <c r="P17" s="150" t="str" cm="1">
        <f t="array" aca="1" ref="P17" ca="1">INDIRECT(ADDRESS(ROW($BH$4)+P$16-1, COLUMN($BH$4)))</f>
        <v>Y</v>
      </c>
      <c r="Q17" s="150" t="str" cm="1">
        <f t="array" aca="1" ref="Q17" ca="1">INDIRECT(ADDRESS(ROW($BH$4)+Q$16-1, COLUMN($BH$4)))</f>
        <v>H</v>
      </c>
      <c r="R17" s="150" t="str" cm="1">
        <f t="array" aca="1" ref="R17" ca="1">INDIRECT(ADDRESS(ROW($BH$4)+R$16-1, COLUMN($BH$4)))</f>
        <v>B</v>
      </c>
      <c r="S17" s="150" t="str" cm="1">
        <f t="array" aca="1" ref="S17" ca="1">INDIRECT(ADDRESS(ROW($BH$4)+S$16-1, COLUMN($BH$4)))</f>
        <v>N</v>
      </c>
      <c r="T17" s="150" t="str" cm="1">
        <f t="array" aca="1" ref="T17" ca="1">INDIRECT(ADDRESS(ROW($BH$4)+T$16-1, COLUMN($BH$4)))</f>
        <v>e</v>
      </c>
      <c r="U17" s="150" t="str" cm="1">
        <f t="array" aca="1" ref="U17" ca="1">INDIRECT(ADDRESS(ROW($BH$4)+U$16-1, COLUMN($BH$4)))</f>
        <v>d</v>
      </c>
      <c r="V17" s="150" t="str" cm="1">
        <f t="array" aca="1" ref="V17" ca="1">INDIRECT(ADDRESS(ROW($BH$4)+V$16-1, COLUMN($BH$4)))</f>
        <v>E</v>
      </c>
      <c r="W17" s="150" t="str" cm="1">
        <f t="array" aca="1" ref="W17" ca="1">INDIRECT(ADDRESS(ROW($BH$4)+W$16-1, COLUMN($BH$4)))</f>
        <v>g</v>
      </c>
      <c r="X17" s="150" t="str" cm="1">
        <f t="array" aca="1" ref="X17" ca="1">INDIRECT(ADDRESS(ROW($BH$4)+X$16-1, COLUMN($BH$4)))</f>
        <v>c</v>
      </c>
      <c r="Y17" s="150" t="str" cm="1">
        <f t="array" aca="1" ref="Y17" ca="1">INDIRECT(ADDRESS(ROW($BH$4)+Y$16-1, COLUMN($BH$4)))</f>
        <v>8</v>
      </c>
      <c r="Z17" s="150" t="str" cm="1">
        <f t="array" aca="1" ref="Z17" ca="1">INDIRECT(ADDRESS(ROW($BH$4)+Z$16-1, COLUMN($BH$4)))</f>
        <v>*</v>
      </c>
      <c r="AA17" s="150" t="str" cm="1">
        <f t="array" aca="1" ref="AA17" ca="1">INDIRECT(ADDRESS(ROW($BH$4)+AA$16-1, COLUMN($BH$4)))</f>
        <v>u</v>
      </c>
      <c r="AB17" s="150" t="str" cm="1">
        <f t="array" aca="1" ref="AB17" ca="1">INDIRECT(ADDRESS(ROW($BH$4)+AB$16-1, COLUMN($BH$4)))</f>
        <v>U</v>
      </c>
      <c r="AC17" s="150" t="str" cm="1">
        <f t="array" aca="1" ref="AC17" ca="1">INDIRECT(ADDRESS(ROW($BH$4)+AC$16-1, COLUMN($BH$4)))</f>
        <v>j</v>
      </c>
      <c r="AD17" s="150" t="str" cm="1">
        <f t="array" aca="1" ref="AD17" ca="1">INDIRECT(ADDRESS(ROW($BH$4)+AD$16-1, COLUMN($BH$4)))</f>
        <v>J</v>
      </c>
      <c r="AE17" s="150" t="str" cm="1">
        <f t="array" aca="1" ref="AE17" ca="1">INDIRECT(ADDRESS(ROW($BH$4)+AE$16-1, COLUMN($BH$4)))</f>
        <v>,</v>
      </c>
      <c r="AF17" s="150" t="str" cm="1">
        <f t="array" aca="1" ref="AF17" ca="1">INDIRECT(ADDRESS(ROW($BH$4)+AF$16-1, COLUMN($BH$4)))</f>
        <v>&lt;</v>
      </c>
      <c r="AG17" s="150" t="str" cm="1">
        <f t="array" aca="1" ref="AG17" ca="1">INDIRECT(ADDRESS(ROW($BH$4)+AG$16-1, COLUMN($BH$4)))</f>
        <v>k</v>
      </c>
      <c r="AH17" s="150" t="str" cm="1">
        <f t="array" aca="1" ref="AH17" ca="1">INDIRECT(ADDRESS(ROW($BH$4)+AH$16-1, COLUMN($BH$4)))</f>
        <v>i</v>
      </c>
      <c r="AI17" s="150" t="str" cm="1">
        <f t="array" aca="1" ref="AI17" ca="1">INDIRECT(ADDRESS(ROW($BH$4)+AI$16-1, COLUMN($BH$4)))</f>
        <v>I</v>
      </c>
      <c r="AJ17" s="150" t="str" cm="1">
        <f t="array" aca="1" ref="AJ17" ca="1">INDIRECT(ADDRESS(ROW($BH$4)+AJ$16-1, COLUMN($BH$4)))</f>
        <v>9</v>
      </c>
      <c r="AK17" s="150" t="str" cm="1">
        <f t="array" aca="1" ref="AK17" ca="1">INDIRECT(ADDRESS(ROW($BH$4)+AK$16-1, COLUMN($BH$4)))</f>
        <v>(</v>
      </c>
      <c r="AL17" s="150" t="str" cm="1">
        <f t="array" aca="1" ref="AL17" ca="1">INDIRECT(ADDRESS(ROW($BH$4)+AL$16-1, COLUMN($BH$4)))</f>
        <v>l</v>
      </c>
      <c r="AM17" s="150" t="str" cm="1">
        <f t="array" aca="1" ref="AM17" ca="1">INDIRECT(ADDRESS(ROW($BH$4)+AM$16-1, COLUMN($BH$4)))</f>
        <v>L</v>
      </c>
      <c r="AN17" s="150" t="str" cm="1">
        <f t="array" aca="1" ref="AN17" ca="1">INDIRECT(ADDRESS(ROW($BH$4)+AN$16-1, COLUMN($BH$4)))</f>
        <v>-</v>
      </c>
      <c r="AO17" s="150" t="str" cm="1">
        <f t="array" aca="1" ref="AO17" ca="1">INDIRECT(ADDRESS(ROW($BH$4)+AO$16-1, COLUMN($BH$4)))</f>
        <v>M</v>
      </c>
      <c r="AP17" s="150" t="str" cm="1">
        <f t="array" aca="1" ref="AP17" ca="1">INDIRECT(ADDRESS(ROW($BH$4)+AP$16-1, COLUMN($BH$4)))</f>
        <v>O</v>
      </c>
      <c r="AQ17" s="150" t="str" cm="1">
        <f t="array" aca="1" ref="AQ17" ca="1">INDIRECT(ADDRESS(ROW($BH$4)+AQ$16-1, COLUMN($BH$4)))</f>
        <v>m</v>
      </c>
      <c r="AR17" s="150" t="str" cm="1">
        <f t="array" aca="1" ref="AR17" ca="1">INDIRECT(ADDRESS(ROW($BH$4)+AR$16-1, COLUMN($BH$4)))</f>
        <v>0</v>
      </c>
      <c r="AS17" s="150" t="str" cm="1">
        <f t="array" aca="1" ref="AS17" ca="1">INDIRECT(ADDRESS(ROW($BH$4)+AS$16-1, COLUMN($BH$4)))</f>
        <v>p</v>
      </c>
      <c r="AT17" s="150" t="str" cm="1">
        <f t="array" aca="1" ref="AT17" ca="1">INDIRECT(ADDRESS(ROW($BH$4)+AT$16-1, COLUMN($BH$4)))</f>
        <v>;</v>
      </c>
      <c r="AU17" s="150" t="str" cm="1">
        <f t="array" aca="1" ref="AU17" ca="1">INDIRECT(ADDRESS(ROW($BH$4)+AU$16-1, COLUMN($BH$4)))</f>
        <v>o</v>
      </c>
      <c r="AV17" s="150" t="str" cm="1">
        <f t="array" aca="1" ref="AV17" ca="1">INDIRECT(ADDRESS(ROW($BH$4)+AV$16-1, COLUMN($BH$4)))</f>
        <v>/</v>
      </c>
      <c r="AW17" s="150" t="str" cm="1">
        <f t="array" aca="1" ref="AW17" ca="1">INDIRECT(ADDRESS(ROW($BH$4)+AW$16-1, COLUMN($BH$4)))</f>
        <v>.</v>
      </c>
      <c r="AX17" s="150" t="str" cm="1">
        <f t="array" aca="1" ref="AX17" ca="1">INDIRECT(ADDRESS(ROW($BH$4)+AX$16-1, COLUMN($BH$4)))</f>
        <v xml:space="preserve"> </v>
      </c>
      <c r="AY17" s="150" t="str" cm="1">
        <f t="array" aca="1" ref="AY17" ca="1">INDIRECT(ADDRESS(ROW($BH$4)+AY$16-1, COLUMN($BH$4)))</f>
        <v>6</v>
      </c>
      <c r="AZ17" s="150" t="str" cm="1">
        <f t="array" aca="1" ref="AZ17" ca="1">INDIRECT(ADDRESS(ROW($BH$4)+AZ$16-1, COLUMN($BH$4)))</f>
        <v>4</v>
      </c>
      <c r="BA17" s="150" t="str" cm="1">
        <f t="array" aca="1" ref="BA17" ca="1">INDIRECT(ADDRESS(ROW($BH$4)+BA$16-1, COLUMN($BH$4)))</f>
        <v>3</v>
      </c>
      <c r="BB17" s="150" t="str" cm="1">
        <f t="array" aca="1" ref="BB17" ca="1">INDIRECT(ADDRESS(ROW($BH$4)+BB$16-1, COLUMN($BH$4)))</f>
        <v>5</v>
      </c>
      <c r="BC17" s="150" t="str" cm="1">
        <f t="array" aca="1" ref="BC17" ca="1">INDIRECT(ADDRESS(ROW($BH$4)+BC$16-1, COLUMN($BH$4)))</f>
        <v>7</v>
      </c>
      <c r="BD17" s="103"/>
      <c r="BE17" s="103"/>
      <c r="BF17" s="103"/>
      <c r="BG17" s="136">
        <f t="shared" si="0"/>
        <v>14</v>
      </c>
      <c r="BH17" s="71" t="str">
        <f>注音編碼對照表!C16</f>
        <v>H</v>
      </c>
      <c r="BI17" s="334" t="str" cm="1">
        <f t="array" ref="BI17" xml:space="preserve"> INDEX( 注音編碼對照表[方音符號], MATCH(TRUE, EXACT(注音符號按鍵!$BH17, 注音編碼對照表[鍵盤按鍵]), 0))</f>
        <v>ㄑ</v>
      </c>
      <c r="BJ17" s="335" t="s">
        <v>91</v>
      </c>
      <c r="BK17" s="332" t="str" cm="1">
        <f t="array" ref="BK17" xml:space="preserve"> INDEX( 注音編碼對照表[國際音標], MATCH(TRUE, EXACT(注音符號按鍵!$BH17, 注音編碼對照表[鍵盤按鍵]), 0))</f>
        <v>ʨʰ</v>
      </c>
      <c r="BL17" s="333" t="str" cm="1">
        <f t="array" ref="BL17" xml:space="preserve"> INDEX( 注音編碼對照表[台語音標], MATCH(TRUE, EXACT(注音符號按鍵!$BH17, 注音編碼對照表[鍵盤按鍵]), 0))</f>
        <v>ci-</v>
      </c>
      <c r="BM17" s="95"/>
      <c r="BO17" s="137" t="str">
        <f t="shared" si="1"/>
        <v>"H": { commit: "ㄑ" }</v>
      </c>
      <c r="BQ17" s="106">
        <f t="shared" si="2"/>
        <v>14</v>
      </c>
      <c r="BR17" s="138" t="str">
        <f t="shared" si="3"/>
        <v>- xform/ʨʰ/H/</v>
      </c>
      <c r="BT17" s="138" t="str">
        <f t="shared" si="4"/>
        <v>- xform/H/ㄑ/</v>
      </c>
    </row>
    <row r="18" spans="1:86" s="105" customFormat="1" ht="45" customHeight="1">
      <c r="A18" s="147"/>
      <c r="B18" s="184" t="s">
        <v>15</v>
      </c>
      <c r="C18" s="185"/>
      <c r="D18" s="186" t="str" cm="1">
        <f t="array" aca="1" ref="D18" ca="1" xml:space="preserve"> INDEX($BI$4:$BI$55, MATCH(TRUE, EXACT(D$17, $BH$4:$BH$55), 0))</f>
        <v>ㄅ</v>
      </c>
      <c r="E18" s="186" t="str" cm="1">
        <f t="array" aca="1" ref="E18" ca="1" xml:space="preserve"> INDEX($BI$4:$BI$55, MATCH(TRUE, EXACT(E$17, $BH$4:$BH$55), 0))</f>
        <v>ㄆ</v>
      </c>
      <c r="F18" s="186" t="str" cm="1">
        <f t="array" aca="1" ref="F18" ca="1" xml:space="preserve"> INDEX($BI$4:$BI$55, MATCH(TRUE, EXACT(F$17, $BH$4:$BH$55), 0))</f>
        <v>ㆠ</v>
      </c>
      <c r="G18" s="186" t="str" cm="1">
        <f t="array" aca="1" ref="G18" ca="1" xml:space="preserve"> INDEX($BI$4:$BI$55, MATCH(TRUE, EXACT(G$17, $BH$4:$BH$55), 0))</f>
        <v>ㄇ</v>
      </c>
      <c r="H18" s="186" t="str" cm="1">
        <f t="array" aca="1" ref="H18" ca="1" xml:space="preserve"> INDEX($BI$4:$BI$55, MATCH(TRUE, EXACT(H$17, $BH$4:$BH$55), 0))</f>
        <v>ㄉ</v>
      </c>
      <c r="I18" s="186" t="str" cm="1">
        <f t="array" aca="1" ref="I18" ca="1" xml:space="preserve"> INDEX($BI$4:$BI$55, MATCH(TRUE, EXACT(I$17, $BH$4:$BH$55), 0))</f>
        <v>ㄊ</v>
      </c>
      <c r="J18" s="186" t="str" cm="1">
        <f t="array" aca="1" ref="J18" ca="1" xml:space="preserve"> INDEX($BI$4:$BI$55, MATCH(TRUE, EXACT(J$17, $BH$4:$BH$55), 0))</f>
        <v>ㄋ</v>
      </c>
      <c r="K18" s="186" t="str" cm="1">
        <f t="array" aca="1" ref="K18" ca="1" xml:space="preserve"> INDEX($BI$4:$BI$55, MATCH(TRUE, EXACT(K$17, $BH$4:$BH$55), 0))</f>
        <v>ㄌ</v>
      </c>
      <c r="L18" s="186" t="str" cm="1">
        <f t="array" aca="1" ref="L18" ca="1" xml:space="preserve"> INDEX($BI$4:$BI$55, MATCH(TRUE, EXACT(L$17, $BH$4:$BH$55), 0))</f>
        <v>ㄗ</v>
      </c>
      <c r="M18" s="186" t="str" cm="1">
        <f t="array" aca="1" ref="M18" ca="1" xml:space="preserve"> INDEX($BI$4:$BI$55, MATCH(TRUE, EXACT(M$17, $BH$4:$BH$55), 0))</f>
        <v>ㄘ</v>
      </c>
      <c r="N18" s="186" t="str" cm="1">
        <f t="array" aca="1" ref="N18" ca="1" xml:space="preserve"> INDEX($BI$4:$BI$55, MATCH(TRUE, EXACT(N$17, $BH$4:$BH$55), 0))</f>
        <v>ㆡ</v>
      </c>
      <c r="O18" s="186" t="str" cm="1">
        <f t="array" aca="1" ref="O18" ca="1" xml:space="preserve"> INDEX($BI$4:$BI$55, MATCH(TRUE, EXACT(O$17, $BH$4:$BH$55), 0))</f>
        <v>ㄙ</v>
      </c>
      <c r="P18" s="186" t="str" cm="1">
        <f t="array" aca="1" ref="P18" ca="1" xml:space="preserve"> INDEX($BI$4:$BI$55, MATCH(TRUE, EXACT(P$17, $BH$4:$BH$55), 0))</f>
        <v>ㄐ</v>
      </c>
      <c r="Q18" s="186" t="str" cm="1">
        <f t="array" aca="1" ref="Q18" ca="1" xml:space="preserve"> INDEX($BI$4:$BI$55, MATCH(TRUE, EXACT(Q$17, $BH$4:$BH$55), 0))</f>
        <v>ㄑ</v>
      </c>
      <c r="R18" s="186" t="str" cm="1">
        <f t="array" aca="1" ref="R18" ca="1" xml:space="preserve"> INDEX($BI$4:$BI$55, MATCH(TRUE, EXACT(R$17, $BH$4:$BH$55), 0))</f>
        <v>ㆢ</v>
      </c>
      <c r="S18" s="186" t="str" cm="1">
        <f t="array" aca="1" ref="S18" ca="1" xml:space="preserve"> INDEX($BI$4:$BI$55, MATCH(TRUE, EXACT(S$17, $BH$4:$BH$55), 0))</f>
        <v>ㄒ</v>
      </c>
      <c r="T18" s="186" t="str" cm="1">
        <f t="array" aca="1" ref="T18" ca="1" xml:space="preserve"> INDEX($BI$4:$BI$55, MATCH(TRUE, EXACT(T$17, $BH$4:$BH$55), 0))</f>
        <v>ㄍ</v>
      </c>
      <c r="U18" s="186" t="str" cm="1">
        <f t="array" aca="1" ref="U18" ca="1" xml:space="preserve"> INDEX($BI$4:$BI$55, MATCH(TRUE, EXACT(U$17, $BH$4:$BH$55), 0))</f>
        <v>ㄎ</v>
      </c>
      <c r="V18" s="186" t="str" cm="1">
        <f t="array" aca="1" ref="V18" ca="1" xml:space="preserve"> INDEX($BI$4:$BI$55, MATCH(TRUE, EXACT(V$17, $BH$4:$BH$55), 0))</f>
        <v>ㆣ</v>
      </c>
      <c r="W18" s="186" t="str" cm="1">
        <f t="array" aca="1" ref="W18" ca="1" xml:space="preserve"> INDEX($BI$4:$BI$55, MATCH(TRUE, EXACT(W$17, $BH$4:$BH$55), 0))</f>
        <v>ㄫ</v>
      </c>
      <c r="X18" s="186" t="str" cm="1">
        <f t="array" aca="1" ref="X18" ca="1" xml:space="preserve"> INDEX($BI$4:$BI$55, MATCH(TRUE, EXACT(X$17, $BH$4:$BH$55), 0))</f>
        <v>ㄏ</v>
      </c>
      <c r="Y18" s="186" t="str" cm="1">
        <f t="array" aca="1" ref="Y18" ca="1" xml:space="preserve"> INDEX($BI$4:$BI$55, MATCH(TRUE, EXACT(Y$17, $BH$4:$BH$55), 0))</f>
        <v>ㄚ</v>
      </c>
      <c r="Z18" s="186" t="str" cm="1">
        <f t="array" aca="1" ref="Z18" ca="1" xml:space="preserve"> INDEX($BI$4:$BI$55, MATCH(TRUE, EXACT(Z$17, $BH$4:$BH$55), 0))</f>
        <v>ㆩ</v>
      </c>
      <c r="AA18" s="186" t="str" cm="1">
        <f t="array" aca="1" ref="AA18" ca="1" xml:space="preserve"> INDEX($BI$4:$BI$55, MATCH(TRUE, EXACT(AA$17, $BH$4:$BH$55), 0))</f>
        <v>ㄧ</v>
      </c>
      <c r="AB18" s="186" t="str" cm="1">
        <f t="array" aca="1" ref="AB18" ca="1" xml:space="preserve"> INDEX($BI$4:$BI$55, MATCH(TRUE, EXACT(AB$17, $BH$4:$BH$55), 0))</f>
        <v>ㆪ</v>
      </c>
      <c r="AC18" s="186" t="str" cm="1">
        <f t="array" aca="1" ref="AC18" ca="1" xml:space="preserve"> INDEX($BI$4:$BI$55, MATCH(TRUE, EXACT(AC$17, $BH$4:$BH$55), 0))</f>
        <v>ㄨ</v>
      </c>
      <c r="AD18" s="186" t="str" cm="1">
        <f t="array" aca="1" ref="AD18" ca="1" xml:space="preserve"> INDEX($BI$4:$BI$55, MATCH(TRUE, EXACT(AD$17, $BH$4:$BH$55), 0))</f>
        <v>ㆫ</v>
      </c>
      <c r="AE18" s="186" t="str" cm="1">
        <f t="array" aca="1" ref="AE18" ca="1" xml:space="preserve"> INDEX($BI$4:$BI$55, MATCH(TRUE, EXACT(AE$17, $BH$4:$BH$55), 0))</f>
        <v>ㆤ</v>
      </c>
      <c r="AF18" s="186" t="str" cm="1">
        <f t="array" aca="1" ref="AF18" ca="1" xml:space="preserve"> INDEX($BI$4:$BI$55, MATCH(TRUE, EXACT(AF$17, $BH$4:$BH$55), 0))</f>
        <v>ㆥ</v>
      </c>
      <c r="AG18" s="186" t="str" cm="1">
        <f t="array" aca="1" ref="AG18" ca="1" xml:space="preserve"> INDEX($BI$4:$BI$55, MATCH(TRUE, EXACT(AG$17, $BH$4:$BH$55), 0))</f>
        <v>ㄜ</v>
      </c>
      <c r="AH18" s="186" t="str" cm="1">
        <f t="array" aca="1" ref="AH18" ca="1" xml:space="preserve"> INDEX($BI$4:$BI$55, MATCH(TRUE, EXACT(AH$17, $BH$4:$BH$55), 0))</f>
        <v>ㆦ</v>
      </c>
      <c r="AI18" s="186" t="str" cm="1">
        <f t="array" aca="1" ref="AI18" ca="1" xml:space="preserve"> INDEX($BI$4:$BI$55, MATCH(TRUE, EXACT(AI$17, $BH$4:$BH$55), 0))</f>
        <v>ㆧ</v>
      </c>
      <c r="AJ18" s="186" t="str" cm="1">
        <f t="array" aca="1" ref="AJ18" ca="1" xml:space="preserve"> INDEX($BI$4:$BI$55, MATCH(TRUE, EXACT(AJ$17, $BH$4:$BH$55), 0))</f>
        <v>ㄞ</v>
      </c>
      <c r="AK18" s="186" t="str" cm="1">
        <f t="array" aca="1" ref="AK18" ca="1" xml:space="preserve"> INDEX($BI$4:$BI$55, MATCH(TRUE, EXACT(AK$17, $BH$4:$BH$55), 0))</f>
        <v>ㆮ</v>
      </c>
      <c r="AL18" s="186" t="str" cm="1">
        <f t="array" aca="1" ref="AL18" ca="1" xml:space="preserve"> INDEX($BI$4:$BI$55, MATCH(TRUE, EXACT(AL$17, $BH$4:$BH$55), 0))</f>
        <v>ㄠ</v>
      </c>
      <c r="AM18" s="186" t="str" cm="1">
        <f t="array" aca="1" ref="AM18" ca="1" xml:space="preserve"> INDEX($BI$4:$BI$55, MATCH(TRUE, EXACT(AM$17, $BH$4:$BH$55), 0))</f>
        <v>ㆯ</v>
      </c>
      <c r="AN18" s="186" t="str" cm="1">
        <f t="array" aca="1" ref="AN18" ca="1" xml:space="preserve"> INDEX($BI$4:$BI$55, MATCH(TRUE, EXACT(AN$17, $BH$4:$BH$55), 0))</f>
        <v>ㆨ</v>
      </c>
      <c r="AO18" s="186" t="str" cm="1">
        <f t="array" aca="1" ref="AO18" ca="1" xml:space="preserve"> INDEX($BI$4:$BI$55, MATCH(TRUE, EXACT(AO$17, $BH$4:$BH$55), 0))</f>
        <v>ㆰ</v>
      </c>
      <c r="AP18" s="186" t="str" cm="1">
        <f t="array" aca="1" ref="AP18" ca="1" xml:space="preserve"> INDEX($BI$4:$BI$55, MATCH(TRUE, EXACT(AP$17, $BH$4:$BH$55), 0))</f>
        <v>ㆱ</v>
      </c>
      <c r="AQ18" s="186" t="str" cm="1">
        <f t="array" aca="1" ref="AQ18" ca="1" xml:space="preserve"> INDEX($BI$4:$BI$55, MATCH(TRUE, EXACT(AQ$17, $BH$4:$BH$55), 0))</f>
        <v>ㆬ</v>
      </c>
      <c r="AR18" s="186" t="str" cm="1">
        <f t="array" aca="1" ref="AR18" ca="1" xml:space="preserve"> INDEX($BI$4:$BI$55, MATCH(TRUE, EXACT(AR$17, $BH$4:$BH$55), 0))</f>
        <v>ㄢ</v>
      </c>
      <c r="AS18" s="186" t="str" cm="1">
        <f t="array" aca="1" ref="AS18" ca="1" xml:space="preserve"> INDEX($BI$4:$BI$55, MATCH(TRUE, EXACT(AS$17, $BH$4:$BH$55), 0))</f>
        <v>ㄣ</v>
      </c>
      <c r="AT18" s="186" t="str" cm="1">
        <f t="array" aca="1" ref="AT18" ca="1" xml:space="preserve"> INDEX($BI$4:$BI$55, MATCH(TRUE, EXACT(AT$17, $BH$4:$BH$55), 0))</f>
        <v>ㄤ</v>
      </c>
      <c r="AU18" s="186" t="str" cm="1">
        <f t="array" aca="1" ref="AU18" ca="1" xml:space="preserve"> INDEX($BI$4:$BI$55, MATCH(TRUE, EXACT(AU$17, $BH$4:$BH$55), 0))</f>
        <v>ㆲ</v>
      </c>
      <c r="AV18" s="186" t="str" cm="1">
        <f t="array" aca="1" ref="AV18" ca="1" xml:space="preserve"> INDEX($BI$4:$BI$55, MATCH(TRUE, EXACT(AV$17, $BH$4:$BH$55), 0))</f>
        <v>ㆭ</v>
      </c>
      <c r="AW18" s="186" t="str" cm="1">
        <f t="array" aca="1" ref="AW18" ca="1" xml:space="preserve"> INDEX($BI$4:$BI$55, MATCH(TRUE, EXACT(AW$17, $BH$4:$BH$55), 0))</f>
        <v>ㄬ</v>
      </c>
      <c r="AX18" s="186" t="str" cm="1">
        <f t="array" aca="1" ref="AX18" ca="1" xml:space="preserve"> INDEX($BI$4:$BI$55, MATCH(TRUE, EXACT(AX$17, $BH$4:$BH$55), 0))</f>
        <v>ˉ</v>
      </c>
      <c r="AY18" s="186" t="str" cm="1">
        <f t="array" aca="1" ref="AY18" ca="1" xml:space="preserve"> INDEX($BI$4:$BI$55, MATCH(TRUE, EXACT(AY$17, $BH$4:$BH$55), 0))</f>
        <v>ˊ</v>
      </c>
      <c r="AZ18" s="186" t="str" cm="1">
        <f t="array" aca="1" ref="AZ18" ca="1" xml:space="preserve"> INDEX($BI$4:$BI$55, MATCH(TRUE, EXACT(AZ$17, $BH$4:$BH$55), 0))</f>
        <v>ˋ</v>
      </c>
      <c r="BA18" s="186" t="str" cm="1">
        <f t="array" aca="1" ref="BA18" ca="1" xml:space="preserve"> INDEX($BI$4:$BI$55, MATCH(TRUE, EXACT(BA$17, $BH$4:$BH$55), 0))</f>
        <v>˪</v>
      </c>
      <c r="BB18" s="186" t="str" cm="1">
        <f t="array" aca="1" ref="BB18" ca="1" xml:space="preserve"> INDEX($BI$4:$BI$55, MATCH(TRUE, EXACT(BB$17, $BH$4:$BH$55), 0))</f>
        <v>˫</v>
      </c>
      <c r="BC18" s="186" t="str" cm="1">
        <f t="array" aca="1" ref="BC18" ca="1" xml:space="preserve"> INDEX($BI$4:$BI$55, MATCH(TRUE, EXACT(BC$17, $BH$4:$BH$55), 0))</f>
        <v>˙</v>
      </c>
      <c r="BD18" s="103"/>
      <c r="BE18" s="103"/>
      <c r="BF18" s="103"/>
      <c r="BG18" s="136">
        <f t="shared" si="0"/>
        <v>15</v>
      </c>
      <c r="BH18" s="71" t="str">
        <f>注音編碼對照表!C17</f>
        <v>B</v>
      </c>
      <c r="BI18" s="334" t="str" cm="1">
        <f t="array" ref="BI18" xml:space="preserve"> INDEX( 注音編碼對照表[方音符號], MATCH(TRUE, EXACT(注音符號按鍵!$BH18, 注音編碼對照表[鍵盤按鍵]), 0))</f>
        <v>ㆢ</v>
      </c>
      <c r="BJ18" s="335" t="s">
        <v>109</v>
      </c>
      <c r="BK18" s="332" t="str" cm="1">
        <f t="array" ref="BK18" xml:space="preserve"> INDEX( 注音編碼對照表[國際音標], MATCH(TRUE, EXACT(注音符號按鍵!$BH18, 注音編碼對照表[鍵盤按鍵]), 0))</f>
        <v>ʥ</v>
      </c>
      <c r="BL18" s="333" t="str" cm="1">
        <f t="array" ref="BL18" xml:space="preserve"> INDEX( 注音編碼對照表[台語音標], MATCH(TRUE, EXACT(注音符號按鍵!$BH18, 注音編碼對照表[鍵盤按鍵]), 0))</f>
        <v>ji-</v>
      </c>
      <c r="BM18" s="95"/>
      <c r="BO18" s="137" t="str">
        <f t="shared" si="1"/>
        <v>"B": { commit: "ㆢ" }</v>
      </c>
      <c r="BQ18" s="106">
        <f t="shared" si="2"/>
        <v>15</v>
      </c>
      <c r="BR18" s="138" t="str">
        <f t="shared" si="3"/>
        <v>- xform/ʥ/B/</v>
      </c>
      <c r="BT18" s="138" t="str">
        <f t="shared" si="4"/>
        <v>- xform/B/ㆢ/</v>
      </c>
    </row>
    <row r="19" spans="1:86" s="105" customFormat="1" ht="45" customHeight="1">
      <c r="A19" s="147"/>
      <c r="B19" s="187" t="s">
        <v>552</v>
      </c>
      <c r="C19" s="188"/>
      <c r="D19" s="189" t="str" cm="1">
        <f t="array" aca="1" ref="D19" ca="1" xml:space="preserve"> INDEX($BJ$4:$BJ$55, MATCH(TRUE, EXACT(D$17, $BH$4:$BH$55), 0))</f>
        <v>ㄅ</v>
      </c>
      <c r="E19" s="189" t="str" cm="1">
        <f t="array" aca="1" ref="E19" ca="1" xml:space="preserve"> INDEX($BJ$4:$BJ$55, MATCH(TRUE, EXACT(E$17, $BH$4:$BH$55), 0))</f>
        <v>ㄆ</v>
      </c>
      <c r="F19" s="189" t="str" cm="1">
        <f t="array" aca="1" ref="F19" ca="1" xml:space="preserve"> INDEX($BJ$4:$BJ$55, MATCH(TRUE, EXACT(F$17, $BH$4:$BH$55), 0))</f>
        <v>ㆠ</v>
      </c>
      <c r="G19" s="189" t="str" cm="1">
        <f t="array" aca="1" ref="G19" ca="1" xml:space="preserve"> INDEX($BJ$4:$BJ$55, MATCH(TRUE, EXACT(G$17, $BH$4:$BH$55), 0))</f>
        <v>ㄇ</v>
      </c>
      <c r="H19" s="189" t="str" cm="1">
        <f t="array" aca="1" ref="H19" ca="1" xml:space="preserve"> INDEX($BJ$4:$BJ$55, MATCH(TRUE, EXACT(H$17, $BH$4:$BH$55), 0))</f>
        <v>ㄉ</v>
      </c>
      <c r="I19" s="189" t="str" cm="1">
        <f t="array" aca="1" ref="I19" ca="1" xml:space="preserve"> INDEX($BJ$4:$BJ$55, MATCH(TRUE, EXACT(I$17, $BH$4:$BH$55), 0))</f>
        <v>ㄊ</v>
      </c>
      <c r="J19" s="189" t="str" cm="1">
        <f t="array" aca="1" ref="J19" ca="1" xml:space="preserve"> INDEX($BJ$4:$BJ$55, MATCH(TRUE, EXACT(J$17, $BH$4:$BH$55), 0))</f>
        <v>ㄋ</v>
      </c>
      <c r="K19" s="189" t="str" cm="1">
        <f t="array" aca="1" ref="K19" ca="1" xml:space="preserve"> INDEX($BJ$4:$BJ$55, MATCH(TRUE, EXACT(K$17, $BH$4:$BH$55), 0))</f>
        <v>ㄌ</v>
      </c>
      <c r="L19" s="189" t="str" cm="1">
        <f t="array" aca="1" ref="L19" ca="1" xml:space="preserve"> INDEX($BJ$4:$BJ$55, MATCH(TRUE, EXACT(L$17, $BH$4:$BH$55), 0))</f>
        <v>ㄗ</v>
      </c>
      <c r="M19" s="189" t="str" cm="1">
        <f t="array" aca="1" ref="M19" ca="1" xml:space="preserve"> INDEX($BJ$4:$BJ$55, MATCH(TRUE, EXACT(M$17, $BH$4:$BH$55), 0))</f>
        <v>ㄘ</v>
      </c>
      <c r="N19" s="189" t="str" cm="1">
        <f t="array" aca="1" ref="N19" ca="1" xml:space="preserve"> INDEX($BJ$4:$BJ$55, MATCH(TRUE, EXACT(N$17, $BH$4:$BH$55), 0))</f>
        <v>ㆡ</v>
      </c>
      <c r="O19" s="189" t="str" cm="1">
        <f t="array" aca="1" ref="O19" ca="1" xml:space="preserve"> INDEX($BJ$4:$BJ$55, MATCH(TRUE, EXACT(O$17, $BH$4:$BH$55), 0))</f>
        <v>ㄙ</v>
      </c>
      <c r="P19" s="189" t="str" cm="1">
        <f t="array" aca="1" ref="P19" ca="1" xml:space="preserve"> INDEX($BJ$4:$BJ$55, MATCH(TRUE, EXACT(P$17, $BH$4:$BH$55), 0))</f>
        <v>ㄐ</v>
      </c>
      <c r="Q19" s="189" t="str" cm="1">
        <f t="array" aca="1" ref="Q19" ca="1" xml:space="preserve"> INDEX($BJ$4:$BJ$55, MATCH(TRUE, EXACT(Q$17, $BH$4:$BH$55), 0))</f>
        <v>ㄑ</v>
      </c>
      <c r="R19" s="189" t="str" cm="1">
        <f t="array" aca="1" ref="R19" ca="1" xml:space="preserve"> INDEX($BJ$4:$BJ$55, MATCH(TRUE, EXACT(R$17, $BH$4:$BH$55), 0))</f>
        <v>ㆢ</v>
      </c>
      <c r="S19" s="189" t="str" cm="1">
        <f t="array" aca="1" ref="S19" ca="1" xml:space="preserve"> INDEX($BJ$4:$BJ$55, MATCH(TRUE, EXACT(S$17, $BH$4:$BH$55), 0))</f>
        <v>ㄒ</v>
      </c>
      <c r="T19" s="189" t="str" cm="1">
        <f t="array" aca="1" ref="T19" ca="1" xml:space="preserve"> INDEX($BJ$4:$BJ$55, MATCH(TRUE, EXACT(T$17, $BH$4:$BH$55), 0))</f>
        <v>ㄍ</v>
      </c>
      <c r="U19" s="189" t="str" cm="1">
        <f t="array" aca="1" ref="U19" ca="1" xml:space="preserve"> INDEX($BJ$4:$BJ$55, MATCH(TRUE, EXACT(U$17, $BH$4:$BH$55), 0))</f>
        <v>ㄎ</v>
      </c>
      <c r="V19" s="189" t="str" cm="1">
        <f t="array" aca="1" ref="V19" ca="1" xml:space="preserve"> INDEX($BJ$4:$BJ$55, MATCH(TRUE, EXACT(V$17, $BH$4:$BH$55), 0))</f>
        <v>ㆣ</v>
      </c>
      <c r="W19" s="189" t="str" cm="1">
        <f t="array" aca="1" ref="W19" ca="1" xml:space="preserve"> INDEX($BJ$4:$BJ$55, MATCH(TRUE, EXACT(W$17, $BH$4:$BH$55), 0))</f>
        <v>ㄫ</v>
      </c>
      <c r="X19" s="189" t="str" cm="1">
        <f t="array" aca="1" ref="X19" ca="1" xml:space="preserve"> INDEX($BJ$4:$BJ$55, MATCH(TRUE, EXACT(X$17, $BH$4:$BH$55), 0))</f>
        <v>ㄏ</v>
      </c>
      <c r="Y19" s="189" t="str" cm="1">
        <f t="array" aca="1" ref="Y19" ca="1" xml:space="preserve"> INDEX($BJ$4:$BJ$55, MATCH(TRUE, EXACT(Y$17, $BH$4:$BH$55), 0))</f>
        <v>ㄚ</v>
      </c>
      <c r="Z19" s="189" t="str" cm="1">
        <f t="array" aca="1" ref="Z19" ca="1" xml:space="preserve"> INDEX($BJ$4:$BJ$55, MATCH(TRUE, EXACT(Z$17, $BH$4:$BH$55), 0))</f>
        <v>ㆩ</v>
      </c>
      <c r="AA19" s="189" t="str" cm="1">
        <f t="array" aca="1" ref="AA19" ca="1" xml:space="preserve"> INDEX($BJ$4:$BJ$55, MATCH(TRUE, EXACT(AA$17, $BH$4:$BH$55), 0))</f>
        <v>ㄧ</v>
      </c>
      <c r="AB19" s="189" t="str" cm="1">
        <f t="array" aca="1" ref="AB19" ca="1" xml:space="preserve"> INDEX($BJ$4:$BJ$55, MATCH(TRUE, EXACT(AB$17, $BH$4:$BH$55), 0))</f>
        <v>ㆪ</v>
      </c>
      <c r="AC19" s="189" t="str" cm="1">
        <f t="array" aca="1" ref="AC19" ca="1" xml:space="preserve"> INDEX($BJ$4:$BJ$55, MATCH(TRUE, EXACT(AC$17, $BH$4:$BH$55), 0))</f>
        <v>ㄨ</v>
      </c>
      <c r="AD19" s="189" t="str" cm="1">
        <f t="array" aca="1" ref="AD19" ca="1" xml:space="preserve"> INDEX($BJ$4:$BJ$55, MATCH(TRUE, EXACT(AD$17, $BH$4:$BH$55), 0))</f>
        <v>ㆫ</v>
      </c>
      <c r="AE19" s="189" t="str" cm="1">
        <f t="array" aca="1" ref="AE19" ca="1" xml:space="preserve"> INDEX($BJ$4:$BJ$55, MATCH(TRUE, EXACT(AE$17, $BH$4:$BH$55), 0))</f>
        <v>ㆤ</v>
      </c>
      <c r="AF19" s="189" t="str" cm="1">
        <f t="array" aca="1" ref="AF19" ca="1" xml:space="preserve"> INDEX($BJ$4:$BJ$55, MATCH(TRUE, EXACT(AF$17, $BH$4:$BH$55), 0))</f>
        <v>ㆥ</v>
      </c>
      <c r="AG19" s="189" t="str" cm="1">
        <f t="array" aca="1" ref="AG19" ca="1" xml:space="preserve"> INDEX($BJ$4:$BJ$55, MATCH(TRUE, EXACT(AG$17, $BH$4:$BH$55), 0))</f>
        <v>ㄜ</v>
      </c>
      <c r="AH19" s="189" t="str" cm="1">
        <f t="array" aca="1" ref="AH19" ca="1" xml:space="preserve"> INDEX($BJ$4:$BJ$55, MATCH(TRUE, EXACT(AH$17, $BH$4:$BH$55), 0))</f>
        <v>ㆦ</v>
      </c>
      <c r="AI19" s="189" t="str" cm="1">
        <f t="array" aca="1" ref="AI19" ca="1" xml:space="preserve"> INDEX($BJ$4:$BJ$55, MATCH(TRUE, EXACT(AI$17, $BH$4:$BH$55), 0))</f>
        <v>ㆧ</v>
      </c>
      <c r="AJ19" s="189" t="str" cm="1">
        <f t="array" aca="1" ref="AJ19" ca="1" xml:space="preserve"> INDEX($BJ$4:$BJ$55, MATCH(TRUE, EXACT(AJ$17, $BH$4:$BH$55), 0))</f>
        <v>ㄞ</v>
      </c>
      <c r="AK19" s="189" t="str" cm="1">
        <f t="array" aca="1" ref="AK19" ca="1" xml:space="preserve"> INDEX($BJ$4:$BJ$55, MATCH(TRUE, EXACT(AK$17, $BH$4:$BH$55), 0))</f>
        <v>ㆮ</v>
      </c>
      <c r="AL19" s="189" t="str" cm="1">
        <f t="array" aca="1" ref="AL19" ca="1" xml:space="preserve"> INDEX($BJ$4:$BJ$55, MATCH(TRUE, EXACT(AL$17, $BH$4:$BH$55), 0))</f>
        <v>ㄠ</v>
      </c>
      <c r="AM19" s="189" t="str" cm="1">
        <f t="array" aca="1" ref="AM19" ca="1" xml:space="preserve"> INDEX($BJ$4:$BJ$55, MATCH(TRUE, EXACT(AM$17, $BH$4:$BH$55), 0))</f>
        <v>ㆯ</v>
      </c>
      <c r="AN19" s="189" t="str" cm="1">
        <f t="array" aca="1" ref="AN19" ca="1" xml:space="preserve"> INDEX($BJ$4:$BJ$55, MATCH(TRUE, EXACT(AN$17, $BH$4:$BH$55), 0))</f>
        <v>ㆨ</v>
      </c>
      <c r="AO19" s="189" t="str" cm="1">
        <f t="array" aca="1" ref="AO19" ca="1" xml:space="preserve"> INDEX($BJ$4:$BJ$55, MATCH(TRUE, EXACT(AO$17, $BH$4:$BH$55), 0))</f>
        <v>ㆰ</v>
      </c>
      <c r="AP19" s="189" t="str" cm="1">
        <f t="array" aca="1" ref="AP19" ca="1" xml:space="preserve"> INDEX($BJ$4:$BJ$55, MATCH(TRUE, EXACT(AP$17, $BH$4:$BH$55), 0))</f>
        <v>ㆱ</v>
      </c>
      <c r="AQ19" s="189" t="str" cm="1">
        <f t="array" aca="1" ref="AQ19" ca="1" xml:space="preserve"> INDEX($BJ$4:$BJ$55, MATCH(TRUE, EXACT(AQ$17, $BH$4:$BH$55), 0))</f>
        <v>ㆬ</v>
      </c>
      <c r="AR19" s="189" t="str" cm="1">
        <f t="array" aca="1" ref="AR19" ca="1" xml:space="preserve"> INDEX($BJ$4:$BJ$55, MATCH(TRUE, EXACT(AR$17, $BH$4:$BH$55), 0))</f>
        <v>ㄢ</v>
      </c>
      <c r="AS19" s="189" t="str" cm="1">
        <f t="array" aca="1" ref="AS19" ca="1" xml:space="preserve"> INDEX($BJ$4:$BJ$55, MATCH(TRUE, EXACT(AS$17, $BH$4:$BH$55), 0))</f>
        <v>ㄣ</v>
      </c>
      <c r="AT19" s="189" t="str" cm="1">
        <f t="array" aca="1" ref="AT19" ca="1" xml:space="preserve"> INDEX($BJ$4:$BJ$55, MATCH(TRUE, EXACT(AT$17, $BH$4:$BH$55), 0))</f>
        <v>ㄤ</v>
      </c>
      <c r="AU19" s="189" t="str" cm="1">
        <f t="array" aca="1" ref="AU19" ca="1" xml:space="preserve"> INDEX($BJ$4:$BJ$55, MATCH(TRUE, EXACT(AU$17, $BH$4:$BH$55), 0))</f>
        <v>ㆲ</v>
      </c>
      <c r="AV19" s="189" t="str" cm="1">
        <f t="array" aca="1" ref="AV19" ca="1" xml:space="preserve"> INDEX($BJ$4:$BJ$55, MATCH(TRUE, EXACT(AV$17, $BH$4:$BH$55), 0))</f>
        <v>ㆭ</v>
      </c>
      <c r="AW19" s="189" t="str" cm="1">
        <f t="array" aca="1" ref="AW19" ca="1" xml:space="preserve"> INDEX($BJ$4:$BJ$55, MATCH(TRUE, EXACT(AW$17, $BH$4:$BH$55), 0))</f>
        <v>ㄬ</v>
      </c>
      <c r="AX19" s="189" t="str" cm="1">
        <f t="array" aca="1" ref="AX19" ca="1" xml:space="preserve"> INDEX($BJ$4:$BJ$55, MATCH(TRUE, EXACT(AX$17, $BH$4:$BH$55), 0))</f>
        <v>ˉ</v>
      </c>
      <c r="AY19" s="189" t="str" cm="1">
        <f t="array" aca="1" ref="AY19" ca="1" xml:space="preserve"> INDEX($BJ$4:$BJ$55, MATCH(TRUE, EXACT(AY$17, $BH$4:$BH$55), 0))</f>
        <v>ˊ</v>
      </c>
      <c r="AZ19" s="189" t="str" cm="1">
        <f t="array" aca="1" ref="AZ19" ca="1" xml:space="preserve"> INDEX($BJ$4:$BJ$55, MATCH(TRUE, EXACT(AZ$17, $BH$4:$BH$55), 0))</f>
        <v>ˋ</v>
      </c>
      <c r="BA19" s="189" t="str" cm="1">
        <f t="array" aca="1" ref="BA19" ca="1" xml:space="preserve"> INDEX($BJ$4:$BJ$55, MATCH(TRUE, EXACT(BA$17, $BH$4:$BH$55), 0))</f>
        <v>˪</v>
      </c>
      <c r="BB19" s="189" t="str" cm="1">
        <f t="array" aca="1" ref="BB19" ca="1" xml:space="preserve"> INDEX($BJ$4:$BJ$55, MATCH(TRUE, EXACT(BB$17, $BH$4:$BH$55), 0))</f>
        <v>˫</v>
      </c>
      <c r="BC19" s="189" t="str" cm="1">
        <f t="array" aca="1" ref="BC19" ca="1" xml:space="preserve"> INDEX($BJ$4:$BJ$55, MATCH(TRUE, EXACT(BC$17, $BH$4:$BH$55), 0))</f>
        <v>˙</v>
      </c>
      <c r="BD19" s="103"/>
      <c r="BE19" s="103"/>
      <c r="BF19" s="103"/>
      <c r="BG19" s="136">
        <f t="shared" si="0"/>
        <v>16</v>
      </c>
      <c r="BH19" s="71" t="str">
        <f>注音編碼對照表!C18</f>
        <v>N</v>
      </c>
      <c r="BI19" s="334" t="str" cm="1">
        <f t="array" ref="BI19" xml:space="preserve"> INDEX( 注音編碼對照表[方音符號], MATCH(TRUE, EXACT(注音符號按鍵!$BH19, 注音編碼對照表[鍵盤按鍵]), 0))</f>
        <v>ㄒ</v>
      </c>
      <c r="BJ19" s="335" t="s">
        <v>209</v>
      </c>
      <c r="BK19" s="332" t="str" cm="1">
        <f t="array" ref="BK19" xml:space="preserve"> INDEX( 注音編碼對照表[國際音標], MATCH(TRUE, EXACT(注音符號按鍵!$BH19, 注音編碼對照表[鍵盤按鍵]), 0))</f>
        <v>ɕ</v>
      </c>
      <c r="BL19" s="333" t="str" cm="1">
        <f t="array" ref="BL19" xml:space="preserve"> INDEX( 注音編碼對照表[台語音標], MATCH(TRUE, EXACT(注音符號按鍵!$BH19, 注音編碼對照表[鍵盤按鍵]), 0))</f>
        <v>si-</v>
      </c>
      <c r="BM19" s="95"/>
      <c r="BO19" s="137" t="str">
        <f t="shared" si="1"/>
        <v>"N": { commit: "ㄒ" }</v>
      </c>
      <c r="BQ19" s="106">
        <f t="shared" si="2"/>
        <v>16</v>
      </c>
      <c r="BR19" s="138" t="str">
        <f t="shared" si="3"/>
        <v>- xform/ɕ/N/</v>
      </c>
      <c r="BT19" s="138" t="str">
        <f t="shared" si="4"/>
        <v>- xform/N/ㄒ/</v>
      </c>
    </row>
    <row r="20" spans="1:86" ht="45" customHeight="1">
      <c r="A20" s="147"/>
      <c r="B20" s="151" t="s">
        <v>263</v>
      </c>
      <c r="C20" s="152"/>
      <c r="D20" s="153" t="str" cm="1">
        <f t="array" aca="1" ref="D20" ca="1" xml:space="preserve"> INDEX($BL$4:$BL$55, MATCH(TRUE, EXACT(D$17, $BH$4:$BH$55), 0))</f>
        <v>p</v>
      </c>
      <c r="E20" s="153" t="str" cm="1">
        <f t="array" aca="1" ref="E20" ca="1" xml:space="preserve"> INDEX($BL$4:$BL$55, MATCH(TRUE, EXACT(E$17, $BH$4:$BH$55), 0))</f>
        <v>ph</v>
      </c>
      <c r="F20" s="153" t="str" cm="1">
        <f t="array" aca="1" ref="F20" ca="1" xml:space="preserve"> INDEX($BL$4:$BL$55, MATCH(TRUE, EXACT(F$17, $BH$4:$BH$55), 0))</f>
        <v>b</v>
      </c>
      <c r="G20" s="153" t="str" cm="1">
        <f t="array" aca="1" ref="G20" ca="1" xml:space="preserve"> INDEX($BL$4:$BL$55, MATCH(TRUE, EXACT(G$17, $BH$4:$BH$55), 0))</f>
        <v>m</v>
      </c>
      <c r="H20" s="153" t="str" cm="1">
        <f t="array" aca="1" ref="H20" ca="1" xml:space="preserve"> INDEX($BL$4:$BL$55, MATCH(TRUE, EXACT(H$17, $BH$4:$BH$55), 0))</f>
        <v>t</v>
      </c>
      <c r="I20" s="153" t="str" cm="1">
        <f t="array" aca="1" ref="I20" ca="1" xml:space="preserve"> INDEX($BL$4:$BL$55, MATCH(TRUE, EXACT(I$17, $BH$4:$BH$55), 0))</f>
        <v>th</v>
      </c>
      <c r="J20" s="153" t="str" cm="1">
        <f t="array" aca="1" ref="J20" ca="1" xml:space="preserve"> INDEX($BL$4:$BL$55, MATCH(TRUE, EXACT(J$17, $BH$4:$BH$55), 0))</f>
        <v>n</v>
      </c>
      <c r="K20" s="153" t="str" cm="1">
        <f t="array" aca="1" ref="K20" ca="1" xml:space="preserve"> INDEX($BL$4:$BL$55, MATCH(TRUE, EXACT(K$17, $BH$4:$BH$55), 0))</f>
        <v>l</v>
      </c>
      <c r="L20" s="153" t="str" cm="1">
        <f t="array" aca="1" ref="L20" ca="1" xml:space="preserve"> INDEX($BL$4:$BL$55, MATCH(TRUE, EXACT(L$17, $BH$4:$BH$55), 0))</f>
        <v>z</v>
      </c>
      <c r="M20" s="153" t="str" cm="1">
        <f t="array" aca="1" ref="M20" ca="1" xml:space="preserve"> INDEX($BL$4:$BL$55, MATCH(TRUE, EXACT(M$17, $BH$4:$BH$55), 0))</f>
        <v>c</v>
      </c>
      <c r="N20" s="153" t="str" cm="1">
        <f t="array" aca="1" ref="N20" ca="1" xml:space="preserve"> INDEX($BL$4:$BL$55, MATCH(TRUE, EXACT(N$17, $BH$4:$BH$55), 0))</f>
        <v>j</v>
      </c>
      <c r="O20" s="153" t="str" cm="1">
        <f t="array" aca="1" ref="O20" ca="1" xml:space="preserve"> INDEX($BL$4:$BL$55, MATCH(TRUE, EXACT(O$17, $BH$4:$BH$55), 0))</f>
        <v>s</v>
      </c>
      <c r="P20" s="153" t="str" cm="1">
        <f t="array" aca="1" ref="P20" ca="1" xml:space="preserve"> INDEX($BL$4:$BL$55, MATCH(TRUE, EXACT(P$17, $BH$4:$BH$55), 0))</f>
        <v>zi-</v>
      </c>
      <c r="Q20" s="153" t="str" cm="1">
        <f t="array" aca="1" ref="Q20" ca="1" xml:space="preserve"> INDEX($BL$4:$BL$55, MATCH(TRUE, EXACT(Q$17, $BH$4:$BH$55), 0))</f>
        <v>ci-</v>
      </c>
      <c r="R20" s="153" t="str" cm="1">
        <f t="array" aca="1" ref="R20" ca="1" xml:space="preserve"> INDEX($BL$4:$BL$55, MATCH(TRUE, EXACT(R$17, $BH$4:$BH$55), 0))</f>
        <v>ji-</v>
      </c>
      <c r="S20" s="153" t="str" cm="1">
        <f t="array" aca="1" ref="S20" ca="1" xml:space="preserve"> INDEX($BL$4:$BL$55, MATCH(TRUE, EXACT(S$17, $BH$4:$BH$55), 0))</f>
        <v>si-</v>
      </c>
      <c r="T20" s="153" t="str" cm="1">
        <f t="array" aca="1" ref="T20" ca="1" xml:space="preserve"> INDEX($BL$4:$BL$55, MATCH(TRUE, EXACT(T$17, $BH$4:$BH$55), 0))</f>
        <v>k</v>
      </c>
      <c r="U20" s="153" t="str" cm="1">
        <f t="array" aca="1" ref="U20" ca="1" xml:space="preserve"> INDEX($BL$4:$BL$55, MATCH(TRUE, EXACT(U$17, $BH$4:$BH$55), 0))</f>
        <v>kh</v>
      </c>
      <c r="V20" s="153" t="str" cm="1">
        <f t="array" aca="1" ref="V20" ca="1" xml:space="preserve"> INDEX($BL$4:$BL$55, MATCH(TRUE, EXACT(V$17, $BH$4:$BH$55), 0))</f>
        <v>g</v>
      </c>
      <c r="W20" s="153" t="str" cm="1">
        <f t="array" aca="1" ref="W20" ca="1" xml:space="preserve"> INDEX($BL$4:$BL$55, MATCH(TRUE, EXACT(W$17, $BH$4:$BH$55), 0))</f>
        <v>ng-</v>
      </c>
      <c r="X20" s="153" t="str" cm="1">
        <f t="array" aca="1" ref="X20" ca="1" xml:space="preserve"> INDEX($BL$4:$BL$55, MATCH(TRUE, EXACT(X$17, $BH$4:$BH$55), 0))</f>
        <v>h</v>
      </c>
      <c r="Y20" s="153" t="str" cm="1">
        <f t="array" aca="1" ref="Y20" ca="1" xml:space="preserve"> INDEX($BL$4:$BL$55, MATCH(TRUE, EXACT(Y$17, $BH$4:$BH$55), 0))</f>
        <v>a</v>
      </c>
      <c r="Z20" s="153" t="str" cm="1">
        <f t="array" aca="1" ref="Z20" ca="1" xml:space="preserve"> INDEX($BL$4:$BL$55, MATCH(TRUE, EXACT(Z$17, $BH$4:$BH$55), 0))</f>
        <v>ann</v>
      </c>
      <c r="AA20" s="153" t="str" cm="1">
        <f t="array" aca="1" ref="AA20" ca="1" xml:space="preserve"> INDEX($BL$4:$BL$55, MATCH(TRUE, EXACT(AA$17, $BH$4:$BH$55), 0))</f>
        <v>i</v>
      </c>
      <c r="AB20" s="153" t="str" cm="1">
        <f t="array" aca="1" ref="AB20" ca="1" xml:space="preserve"> INDEX($BL$4:$BL$55, MATCH(TRUE, EXACT(AB$17, $BH$4:$BH$55), 0))</f>
        <v>inn</v>
      </c>
      <c r="AC20" s="153" t="str" cm="1">
        <f t="array" aca="1" ref="AC20" ca="1" xml:space="preserve"> INDEX($BL$4:$BL$55, MATCH(TRUE, EXACT(AC$17, $BH$4:$BH$55), 0))</f>
        <v>u</v>
      </c>
      <c r="AD20" s="153" t="str" cm="1">
        <f t="array" aca="1" ref="AD20" ca="1" xml:space="preserve"> INDEX($BL$4:$BL$55, MATCH(TRUE, EXACT(AD$17, $BH$4:$BH$55), 0))</f>
        <v>unn</v>
      </c>
      <c r="AE20" s="153" t="str" cm="1">
        <f t="array" aca="1" ref="AE20" ca="1" xml:space="preserve"> INDEX($BL$4:$BL$55, MATCH(TRUE, EXACT(AE$17, $BH$4:$BH$55), 0))</f>
        <v>e</v>
      </c>
      <c r="AF20" s="153" t="str" cm="1">
        <f t="array" aca="1" ref="AF20" ca="1" xml:space="preserve"> INDEX($BL$4:$BL$55, MATCH(TRUE, EXACT(AF$17, $BH$4:$BH$55), 0))</f>
        <v>enn</v>
      </c>
      <c r="AG20" s="153" t="str" cm="1">
        <f t="array" aca="1" ref="AG20" ca="1" xml:space="preserve"> INDEX($BL$4:$BL$55, MATCH(TRUE, EXACT(AG$17, $BH$4:$BH$55), 0))</f>
        <v>o</v>
      </c>
      <c r="AH20" s="153" t="str" cm="1">
        <f t="array" aca="1" ref="AH20" ca="1" xml:space="preserve"> INDEX($BL$4:$BL$55, MATCH(TRUE, EXACT(AH$17, $BH$4:$BH$55), 0))</f>
        <v>oo</v>
      </c>
      <c r="AI20" s="153" t="str" cm="1">
        <f t="array" aca="1" ref="AI20" ca="1" xml:space="preserve"> INDEX($BL$4:$BL$55, MATCH(TRUE, EXACT(AI$17, $BH$4:$BH$55), 0))</f>
        <v>onn</v>
      </c>
      <c r="AJ20" s="153" t="str" cm="1">
        <f t="array" aca="1" ref="AJ20" ca="1" xml:space="preserve"> INDEX($BL$4:$BL$55, MATCH(TRUE, EXACT(AJ$17, $BH$4:$BH$55), 0))</f>
        <v>ai</v>
      </c>
      <c r="AK20" s="153" t="str" cm="1">
        <f t="array" aca="1" ref="AK20" ca="1" xml:space="preserve"> INDEX($BL$4:$BL$55, MATCH(TRUE, EXACT(AK$17, $BH$4:$BH$55), 0))</f>
        <v>ainn</v>
      </c>
      <c r="AL20" s="153" t="str" cm="1">
        <f t="array" aca="1" ref="AL20" ca="1" xml:space="preserve"> INDEX($BL$4:$BL$55, MATCH(TRUE, EXACT(AL$17, $BH$4:$BH$55), 0))</f>
        <v>au</v>
      </c>
      <c r="AM20" s="153" t="str" cm="1">
        <f t="array" aca="1" ref="AM20" ca="1" xml:space="preserve"> INDEX($BL$4:$BL$55, MATCH(TRUE, EXACT(AM$17, $BH$4:$BH$55), 0))</f>
        <v>aunn</v>
      </c>
      <c r="AN20" s="153" t="str" cm="1">
        <f t="array" aca="1" ref="AN20" ca="1" xml:space="preserve"> INDEX($BL$4:$BL$55, MATCH(TRUE, EXACT(AN$17, $BH$4:$BH$55), 0))</f>
        <v>ir</v>
      </c>
      <c r="AO20" s="153" t="str" cm="1">
        <f t="array" aca="1" ref="AO20" ca="1" xml:space="preserve"> INDEX($BL$4:$BL$55, MATCH(TRUE, EXACT(AO$17, $BH$4:$BH$55), 0))</f>
        <v>am</v>
      </c>
      <c r="AP20" s="153" t="str" cm="1">
        <f t="array" aca="1" ref="AP20" ca="1" xml:space="preserve"> INDEX($BL$4:$BL$55, MATCH(TRUE, EXACT(AP$17, $BH$4:$BH$55), 0))</f>
        <v>om</v>
      </c>
      <c r="AQ20" s="153" t="str" cm="1">
        <f t="array" aca="1" ref="AQ20" ca="1" xml:space="preserve"> INDEX($BL$4:$BL$55, MATCH(TRUE, EXACT(AQ$17, $BH$4:$BH$55), 0))</f>
        <v>-m</v>
      </c>
      <c r="AR20" s="153" t="str" cm="1">
        <f t="array" aca="1" ref="AR20" ca="1" xml:space="preserve"> INDEX($BL$4:$BL$55, MATCH(TRUE, EXACT(AR$17, $BH$4:$BH$55), 0))</f>
        <v>an</v>
      </c>
      <c r="AS20" s="153" t="str" cm="1">
        <f t="array" aca="1" ref="AS20" ca="1" xml:space="preserve"> INDEX($BL$4:$BL$55, MATCH(TRUE, EXACT(AS$17, $BH$4:$BH$55), 0))</f>
        <v>-n</v>
      </c>
      <c r="AT20" s="153" t="str" cm="1">
        <f t="array" aca="1" ref="AT20" ca="1" xml:space="preserve"> INDEX($BL$4:$BL$55, MATCH(TRUE, EXACT(AT$17, $BH$4:$BH$55), 0))</f>
        <v>ang</v>
      </c>
      <c r="AU20" s="153" t="str" cm="1">
        <f t="array" aca="1" ref="AU20" ca="1" xml:space="preserve"> INDEX($BL$4:$BL$55, MATCH(TRUE, EXACT(AU$17, $BH$4:$BH$55), 0))</f>
        <v>ong</v>
      </c>
      <c r="AV20" s="153" t="str" cm="1">
        <f t="array" aca="1" ref="AV20" ca="1" xml:space="preserve"> INDEX($BL$4:$BL$55, MATCH(TRUE, EXACT(AV$17, $BH$4:$BH$55), 0))</f>
        <v>-ng</v>
      </c>
      <c r="AW20" s="153" t="str" cm="1">
        <f t="array" aca="1" ref="AW20" ca="1" xml:space="preserve"> INDEX($BL$4:$BL$55, MATCH(TRUE, EXACT(AW$17, $BH$4:$BH$55), 0))</f>
        <v>-nn</v>
      </c>
      <c r="AX20" s="153" cm="1">
        <f t="array" aca="1" ref="AX20" ca="1" xml:space="preserve"> INDEX($BL$4:$BL$55, MATCH(TRUE, EXACT(AX$17, $BH$4:$BH$55), 0))</f>
        <v>1</v>
      </c>
      <c r="AY20" s="153" cm="1">
        <f t="array" aca="1" ref="AY20" ca="1" xml:space="preserve"> INDEX($BL$4:$BL$55, MATCH(TRUE, EXACT(AY$17, $BH$4:$BH$55), 0))</f>
        <v>5</v>
      </c>
      <c r="AZ20" s="153" cm="1">
        <f t="array" aca="1" ref="AZ20" ca="1" xml:space="preserve"> INDEX($BL$4:$BL$55, MATCH(TRUE, EXACT(AZ$17, $BH$4:$BH$55), 0))</f>
        <v>2</v>
      </c>
      <c r="BA20" s="153" cm="1">
        <f t="array" aca="1" ref="BA20" ca="1" xml:space="preserve"> INDEX($BL$4:$BL$55, MATCH(TRUE, EXACT(BA$17, $BH$4:$BH$55), 0))</f>
        <v>3</v>
      </c>
      <c r="BB20" s="153" cm="1">
        <f t="array" aca="1" ref="BB20" ca="1" xml:space="preserve"> INDEX($BL$4:$BL$55, MATCH(TRUE, EXACT(BB$17, $BH$4:$BH$55), 0))</f>
        <v>7</v>
      </c>
      <c r="BC20" s="153" t="str" cm="1">
        <f t="array" aca="1" ref="BC20" ca="1" xml:space="preserve"> INDEX($BL$4:$BL$55, MATCH(TRUE, EXACT(BC$17, $BH$4:$BH$55), 0))</f>
        <v>[48]</v>
      </c>
      <c r="BG20" s="136">
        <f t="shared" si="0"/>
        <v>17</v>
      </c>
      <c r="BH20" s="71" t="str">
        <f>注音編碼對照表!C19</f>
        <v>e</v>
      </c>
      <c r="BI20" s="334" t="str" cm="1">
        <f t="array" ref="BI20" xml:space="preserve"> INDEX( 注音編碼對照表[方音符號], MATCH(TRUE, EXACT(注音符號按鍵!$BH20, 注音編碼對照表[鍵盤按鍵]), 0))</f>
        <v>ㄍ</v>
      </c>
      <c r="BJ20" s="335" t="s">
        <v>36</v>
      </c>
      <c r="BK20" s="332" t="str" cm="1">
        <f t="array" ref="BK20" xml:space="preserve"> INDEX( 注音編碼對照表[國際音標], MATCH(TRUE, EXACT(注音符號按鍵!$BH20, 注音編碼對照表[鍵盤按鍵]), 0))</f>
        <v>k</v>
      </c>
      <c r="BL20" s="333" t="str" cm="1">
        <f t="array" ref="BL20" xml:space="preserve"> INDEX( 注音編碼對照表[台語音標], MATCH(TRUE, EXACT(注音符號按鍵!$BH20, 注音編碼對照表[鍵盤按鍵]), 0))</f>
        <v>k</v>
      </c>
      <c r="BM20" s="95"/>
      <c r="BO20" s="137" t="str">
        <f t="shared" si="1"/>
        <v>"e": { commit: "ㄍ" }</v>
      </c>
      <c r="BQ20" s="113">
        <f t="shared" si="2"/>
        <v>17</v>
      </c>
      <c r="BR20" s="138" t="str">
        <f t="shared" si="3"/>
        <v>- xform/k/e/</v>
      </c>
      <c r="BT20" s="138" t="str">
        <f t="shared" si="4"/>
        <v>- xform/e/ㄍ/</v>
      </c>
    </row>
    <row r="21" spans="1:86" s="106" customFormat="1" ht="45" customHeight="1">
      <c r="A21" s="130"/>
      <c r="B21" s="154" t="s">
        <v>250</v>
      </c>
      <c r="C21" s="155"/>
      <c r="D21" s="156" t="str" cm="1">
        <f t="array" aca="1" ref="D21" ca="1" xml:space="preserve"> INDEX($BK$4:$BK$55, MATCH(TRUE, EXACT(D$17, $BH$4:$BH$55), 0))</f>
        <v>p</v>
      </c>
      <c r="E21" s="156" t="str" cm="1">
        <f t="array" aca="1" ref="E21" ca="1" xml:space="preserve"> INDEX($BK$4:$BK$55, MATCH(TRUE, EXACT(E$17, $BH$4:$BH$55), 0))</f>
        <v>pʰ</v>
      </c>
      <c r="F21" s="156" t="str" cm="1">
        <f t="array" aca="1" ref="F21" ca="1" xml:space="preserve"> INDEX($BK$4:$BK$55, MATCH(TRUE, EXACT(F$17, $BH$4:$BH$55), 0))</f>
        <v>b</v>
      </c>
      <c r="G21" s="156" t="str" cm="1">
        <f t="array" aca="1" ref="G21" ca="1" xml:space="preserve"> INDEX($BK$4:$BK$55, MATCH(TRUE, EXACT(G$17, $BH$4:$BH$55), 0))</f>
        <v>m</v>
      </c>
      <c r="H21" s="156" t="str" cm="1">
        <f t="array" aca="1" ref="H21" ca="1" xml:space="preserve"> INDEX($BK$4:$BK$55, MATCH(TRUE, EXACT(H$17, $BH$4:$BH$55), 0))</f>
        <v>t</v>
      </c>
      <c r="I21" s="156" t="str" cm="1">
        <f t="array" aca="1" ref="I21" ca="1" xml:space="preserve"> INDEX($BK$4:$BK$55, MATCH(TRUE, EXACT(I$17, $BH$4:$BH$55), 0))</f>
        <v>tʰ</v>
      </c>
      <c r="J21" s="156" t="str" cm="1">
        <f t="array" aca="1" ref="J21" ca="1" xml:space="preserve"> INDEX($BK$4:$BK$55, MATCH(TRUE, EXACT(J$17, $BH$4:$BH$55), 0))</f>
        <v>n</v>
      </c>
      <c r="K21" s="156" t="str" cm="1">
        <f t="array" aca="1" ref="K21" ca="1" xml:space="preserve"> INDEX($BK$4:$BK$55, MATCH(TRUE, EXACT(K$17, $BH$4:$BH$55), 0))</f>
        <v>l</v>
      </c>
      <c r="L21" s="156" t="str" cm="1">
        <f t="array" aca="1" ref="L21" ca="1" xml:space="preserve"> INDEX($BK$4:$BK$55, MATCH(TRUE, EXACT(L$17, $BH$4:$BH$55), 0))</f>
        <v>ts</v>
      </c>
      <c r="M21" s="156" t="str" cm="1">
        <f t="array" aca="1" ref="M21" ca="1" xml:space="preserve"> INDEX($BK$4:$BK$55, MATCH(TRUE, EXACT(M$17, $BH$4:$BH$55), 0))</f>
        <v>ʦʰ</v>
      </c>
      <c r="N21" s="156" t="str" cm="1">
        <f t="array" aca="1" ref="N21" ca="1" xml:space="preserve"> INDEX($BK$4:$BK$55, MATCH(TRUE, EXACT(N$17, $BH$4:$BH$55), 0))</f>
        <v>ʣ</v>
      </c>
      <c r="O21" s="156" t="str" cm="1">
        <f t="array" aca="1" ref="O21" ca="1" xml:space="preserve"> INDEX($BK$4:$BK$55, MATCH(TRUE, EXACT(O$17, $BH$4:$BH$55), 0))</f>
        <v>s</v>
      </c>
      <c r="P21" s="156" t="str" cm="1">
        <f t="array" aca="1" ref="P21" ca="1" xml:space="preserve"> INDEX($BK$4:$BK$55, MATCH(TRUE, EXACT(P$17, $BH$4:$BH$55), 0))</f>
        <v>ʨ</v>
      </c>
      <c r="Q21" s="156" t="str" cm="1">
        <f t="array" aca="1" ref="Q21" ca="1" xml:space="preserve"> INDEX($BK$4:$BK$55, MATCH(TRUE, EXACT(Q$17, $BH$4:$BH$55), 0))</f>
        <v>ʨʰ</v>
      </c>
      <c r="R21" s="156" t="str" cm="1">
        <f t="array" aca="1" ref="R21" ca="1" xml:space="preserve"> INDEX($BK$4:$BK$55, MATCH(TRUE, EXACT(R$17, $BH$4:$BH$55), 0))</f>
        <v>ʥ</v>
      </c>
      <c r="S21" s="156" t="str" cm="1">
        <f t="array" aca="1" ref="S21" ca="1" xml:space="preserve"> INDEX($BK$4:$BK$55, MATCH(TRUE, EXACT(S$17, $BH$4:$BH$55), 0))</f>
        <v>ɕ</v>
      </c>
      <c r="T21" s="156" t="str" cm="1">
        <f t="array" aca="1" ref="T21" ca="1" xml:space="preserve"> INDEX($BK$4:$BK$55, MATCH(TRUE, EXACT(T$17, $BH$4:$BH$55), 0))</f>
        <v>k</v>
      </c>
      <c r="U21" s="156" t="str" cm="1">
        <f t="array" aca="1" ref="U21" ca="1" xml:space="preserve"> INDEX($BK$4:$BK$55, MATCH(TRUE, EXACT(U$17, $BH$4:$BH$55), 0))</f>
        <v>kʰ</v>
      </c>
      <c r="V21" s="156" t="str" cm="1">
        <f t="array" aca="1" ref="V21" ca="1" xml:space="preserve"> INDEX($BK$4:$BK$55, MATCH(TRUE, EXACT(V$17, $BH$4:$BH$55), 0))</f>
        <v>g</v>
      </c>
      <c r="W21" s="156" t="str" cm="1">
        <f t="array" aca="1" ref="W21" ca="1" xml:space="preserve"> INDEX($BK$4:$BK$55, MATCH(TRUE, EXACT(W$17, $BH$4:$BH$55), 0))</f>
        <v>ŋ</v>
      </c>
      <c r="X21" s="156" t="str" cm="1">
        <f t="array" aca="1" ref="X21" ca="1" xml:space="preserve"> INDEX($BK$4:$BK$55, MATCH(TRUE, EXACT(X$17, $BH$4:$BH$55), 0))</f>
        <v>h</v>
      </c>
      <c r="Y21" s="156" t="str" cm="1">
        <f t="array" aca="1" ref="Y21" ca="1" xml:space="preserve"> INDEX($BK$4:$BK$55, MATCH(TRUE, EXACT(Y$17, $BH$4:$BH$55), 0))</f>
        <v>a</v>
      </c>
      <c r="Z21" s="156" t="str" cm="1">
        <f t="array" aca="1" ref="Z21" ca="1" xml:space="preserve"> INDEX($BK$4:$BK$55, MATCH(TRUE, EXACT(Z$17, $BH$4:$BH$55), 0))</f>
        <v>ã</v>
      </c>
      <c r="AA21" s="156" t="str" cm="1">
        <f t="array" aca="1" ref="AA21" ca="1" xml:space="preserve"> INDEX($BK$4:$BK$55, MATCH(TRUE, EXACT(AA$17, $BH$4:$BH$55), 0))</f>
        <v>i</v>
      </c>
      <c r="AB21" s="156" t="str" cm="1">
        <f t="array" aca="1" ref="AB21" ca="1" xml:space="preserve"> INDEX($BK$4:$BK$55, MATCH(TRUE, EXACT(AB$17, $BH$4:$BH$55), 0))</f>
        <v>ĩ</v>
      </c>
      <c r="AC21" s="156" t="str" cm="1">
        <f t="array" aca="1" ref="AC21" ca="1" xml:space="preserve"> INDEX($BK$4:$BK$55, MATCH(TRUE, EXACT(AC$17, $BH$4:$BH$55), 0))</f>
        <v>u</v>
      </c>
      <c r="AD21" s="156" t="str" cm="1">
        <f t="array" aca="1" ref="AD21" ca="1" xml:space="preserve"> INDEX($BK$4:$BK$55, MATCH(TRUE, EXACT(AD$17, $BH$4:$BH$55), 0))</f>
        <v>ũ</v>
      </c>
      <c r="AE21" s="156" t="str" cm="1">
        <f t="array" aca="1" ref="AE21" ca="1" xml:space="preserve"> INDEX($BK$4:$BK$55, MATCH(TRUE, EXACT(AE$17, $BH$4:$BH$55), 0))</f>
        <v>e</v>
      </c>
      <c r="AF21" s="156" t="str" cm="1">
        <f t="array" aca="1" ref="AF21" ca="1" xml:space="preserve"> INDEX($BK$4:$BK$55, MATCH(TRUE, EXACT(AF$17, $BH$4:$BH$55), 0))</f>
        <v>ẽ</v>
      </c>
      <c r="AG21" s="156" t="str" cm="1">
        <f t="array" aca="1" ref="AG21" ca="1" xml:space="preserve"> INDEX($BK$4:$BK$55, MATCH(TRUE, EXACT(AG$17, $BH$4:$BH$55), 0))</f>
        <v>ə</v>
      </c>
      <c r="AH21" s="156" t="str" cm="1">
        <f t="array" aca="1" ref="AH21" ca="1" xml:space="preserve"> INDEX($BK$4:$BK$55, MATCH(TRUE, EXACT(AH$17, $BH$4:$BH$55), 0))</f>
        <v>ɔ</v>
      </c>
      <c r="AI21" s="156" t="str" cm="1">
        <f t="array" aca="1" ref="AI21" ca="1" xml:space="preserve"> INDEX($BK$4:$BK$55, MATCH(TRUE, EXACT(AI$17, $BH$4:$BH$55), 0))</f>
        <v>ɔ̃</v>
      </c>
      <c r="AJ21" s="156" t="str" cm="1">
        <f t="array" aca="1" ref="AJ21" ca="1" xml:space="preserve"> INDEX($BK$4:$BK$55, MATCH(TRUE, EXACT(AJ$17, $BH$4:$BH$55), 0))</f>
        <v>ai</v>
      </c>
      <c r="AK21" s="156" t="str" cm="1">
        <f t="array" aca="1" ref="AK21" ca="1" xml:space="preserve"> INDEX($BK$4:$BK$55, MATCH(TRUE, EXACT(AK$17, $BH$4:$BH$55), 0))</f>
        <v>ãĩ</v>
      </c>
      <c r="AL21" s="156" t="str" cm="1">
        <f t="array" aca="1" ref="AL21" ca="1" xml:space="preserve"> INDEX($BK$4:$BK$55, MATCH(TRUE, EXACT(AL$17, $BH$4:$BH$55), 0))</f>
        <v>ɑu</v>
      </c>
      <c r="AM21" s="156" t="str" cm="1">
        <f t="array" aca="1" ref="AM21" ca="1" xml:space="preserve"> INDEX($BK$4:$BK$55, MATCH(TRUE, EXACT(AM$17, $BH$4:$BH$55), 0))</f>
        <v>ãũ</v>
      </c>
      <c r="AN21" s="156" t="str" cm="1">
        <f t="array" aca="1" ref="AN21" ca="1" xml:space="preserve"> INDEX($BK$4:$BK$55, MATCH(TRUE, EXACT(AN$17, $BH$4:$BH$55), 0))</f>
        <v>ɨ</v>
      </c>
      <c r="AO21" s="156" t="str" cm="1">
        <f t="array" aca="1" ref="AO21" ca="1" xml:space="preserve"> INDEX($BK$4:$BK$55, MATCH(TRUE, EXACT(AO$17, $BH$4:$BH$55), 0))</f>
        <v>am</v>
      </c>
      <c r="AP21" s="156" t="str" cm="1">
        <f t="array" aca="1" ref="AP21" ca="1" xml:space="preserve"> INDEX($BK$4:$BK$55, MATCH(TRUE, EXACT(AP$17, $BH$4:$BH$55), 0))</f>
        <v>ɔm</v>
      </c>
      <c r="AQ21" s="156" t="str" cm="1">
        <f t="array" aca="1" ref="AQ21" ca="1" xml:space="preserve"> INDEX($BK$4:$BK$55, MATCH(TRUE, EXACT(AQ$17, $BH$4:$BH$55), 0))</f>
        <v>m̩</v>
      </c>
      <c r="AR21" s="156" t="str" cm="1">
        <f t="array" aca="1" ref="AR21" ca="1" xml:space="preserve"> INDEX($BK$4:$BK$55, MATCH(TRUE, EXACT(AR$17, $BH$4:$BH$55), 0))</f>
        <v>an</v>
      </c>
      <c r="AS21" s="156" t="str" cm="1">
        <f t="array" aca="1" ref="AS21" ca="1" xml:space="preserve"> INDEX($BK$4:$BK$55, MATCH(TRUE, EXACT(AS$17, $BH$4:$BH$55), 0))</f>
        <v>n</v>
      </c>
      <c r="AT21" s="156" t="str" cm="1">
        <f t="array" aca="1" ref="AT21" ca="1" xml:space="preserve"> INDEX($BK$4:$BK$55, MATCH(TRUE, EXACT(AT$17, $BH$4:$BH$55), 0))</f>
        <v>ɑŋ</v>
      </c>
      <c r="AU21" s="156" t="str" cm="1">
        <f t="array" aca="1" ref="AU21" ca="1" xml:space="preserve"> INDEX($BK$4:$BK$55, MATCH(TRUE, EXACT(AU$17, $BH$4:$BH$55), 0))</f>
        <v>ɔŋ</v>
      </c>
      <c r="AV21" s="156" t="str" cm="1">
        <f t="array" aca="1" ref="AV21" ca="1" xml:space="preserve"> INDEX($BK$4:$BK$55, MATCH(TRUE, EXACT(AV$17, $BH$4:$BH$55), 0))</f>
        <v>ŋ̍</v>
      </c>
      <c r="AW21" s="156" t="str" cm="1">
        <f t="array" aca="1" ref="AW21" ca="1" xml:space="preserve"> INDEX($BK$4:$BK$55, MATCH(TRUE, EXACT(AW$17, $BH$4:$BH$55), 0))</f>
        <v>ɲ</v>
      </c>
      <c r="AX21" s="156" cm="1">
        <f t="array" aca="1" ref="AX21" ca="1" xml:space="preserve"> INDEX($BK$4:$BK$55, MATCH(TRUE, EXACT(AX$17, $BH$4:$BH$55), 0))</f>
        <v>0</v>
      </c>
      <c r="AY21" s="156" cm="1">
        <f t="array" aca="1" ref="AY21" ca="1" xml:space="preserve"> INDEX($BK$4:$BK$55, MATCH(TRUE, EXACT(AY$17, $BH$4:$BH$55), 0))</f>
        <v>0</v>
      </c>
      <c r="AZ21" s="156" cm="1">
        <f t="array" aca="1" ref="AZ21" ca="1" xml:space="preserve"> INDEX($BK$4:$BK$55, MATCH(TRUE, EXACT(AZ$17, $BH$4:$BH$55), 0))</f>
        <v>0</v>
      </c>
      <c r="BA21" s="156" cm="1">
        <f t="array" aca="1" ref="BA21" ca="1" xml:space="preserve"> INDEX($BK$4:$BK$55, MATCH(TRUE, EXACT(BA$17, $BH$4:$BH$55), 0))</f>
        <v>0</v>
      </c>
      <c r="BB21" s="156" cm="1">
        <f t="array" aca="1" ref="BB21" ca="1" xml:space="preserve"> INDEX($BK$4:$BK$55, MATCH(TRUE, EXACT(BB$17, $BH$4:$BH$55), 0))</f>
        <v>0</v>
      </c>
      <c r="BC21" s="156" cm="1">
        <f t="array" aca="1" ref="BC21" ca="1" xml:space="preserve"> INDEX($BK$4:$BK$55, MATCH(TRUE, EXACT(BC$17, $BH$4:$BH$55), 0))</f>
        <v>0</v>
      </c>
      <c r="BD21" s="102"/>
      <c r="BE21" s="102"/>
      <c r="BF21" s="102"/>
      <c r="BG21" s="136">
        <f t="shared" si="0"/>
        <v>18</v>
      </c>
      <c r="BH21" s="71" t="str">
        <f>注音編碼對照表!C20</f>
        <v>d</v>
      </c>
      <c r="BI21" s="334" t="str" cm="1">
        <f t="array" ref="BI21" xml:space="preserve"> INDEX( 注音編碼對照表[方音符號], MATCH(TRUE, EXACT(注音符號按鍵!$BH21, 注音編碼對照表[鍵盤按鍵]), 0))</f>
        <v>ㄎ</v>
      </c>
      <c r="BJ21" s="335" t="s">
        <v>38</v>
      </c>
      <c r="BK21" s="332" t="str" cm="1">
        <f t="array" ref="BK21" xml:space="preserve"> INDEX( 注音編碼對照表[國際音標], MATCH(TRUE, EXACT(注音符號按鍵!$BH21, 注音編碼對照表[鍵盤按鍵]), 0))</f>
        <v>kʰ</v>
      </c>
      <c r="BL21" s="333" t="str" cm="1">
        <f t="array" ref="BL21" xml:space="preserve"> INDEX( 注音編碼對照表[台語音標], MATCH(TRUE, EXACT(注音符號按鍵!$BH21, 注音編碼對照表[鍵盤按鍵]), 0))</f>
        <v>kh</v>
      </c>
      <c r="BM21" s="95"/>
      <c r="BO21" s="137" t="str">
        <f t="shared" si="1"/>
        <v>"d": { commit: "ㄎ" }</v>
      </c>
      <c r="BQ21" s="106">
        <f t="shared" si="2"/>
        <v>18</v>
      </c>
      <c r="BR21" s="138" t="str">
        <f t="shared" si="3"/>
        <v>- xform/kʰ/d/</v>
      </c>
      <c r="BT21" s="138" t="str">
        <f t="shared" si="4"/>
        <v>- xform/d/ㄎ/</v>
      </c>
    </row>
    <row r="22" spans="1:86" s="106" customFormat="1" ht="45" customHeight="1"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10"/>
      <c r="AS22" s="110"/>
      <c r="AT22" s="130"/>
      <c r="AU22" s="130"/>
      <c r="AV22" s="130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36">
        <f t="shared" si="0"/>
        <v>19</v>
      </c>
      <c r="BH22" s="71" t="str">
        <f>注音編碼對照表!C21</f>
        <v>E</v>
      </c>
      <c r="BI22" s="334" t="str" cm="1">
        <f t="array" ref="BI22" xml:space="preserve"> INDEX( 注音編碼對照表[方音符號], MATCH(TRUE, EXACT(注音符號按鍵!$BH22, 注音編碼對照表[鍵盤按鍵]), 0))</f>
        <v>ㆣ</v>
      </c>
      <c r="BJ22" s="335" t="s">
        <v>41</v>
      </c>
      <c r="BK22" s="332" t="str" cm="1">
        <f t="array" ref="BK22" xml:space="preserve"> INDEX( 注音編碼對照表[國際音標], MATCH(TRUE, EXACT(注音符號按鍵!$BH22, 注音編碼對照表[鍵盤按鍵]), 0))</f>
        <v>g</v>
      </c>
      <c r="BL22" s="333" t="str" cm="1">
        <f t="array" ref="BL22" xml:space="preserve"> INDEX( 注音編碼對照表[台語音標], MATCH(TRUE, EXACT(注音符號按鍵!$BH22, 注音編碼對照表[鍵盤按鍵]), 0))</f>
        <v>g</v>
      </c>
      <c r="BM22" s="95"/>
      <c r="BO22" s="137" t="str">
        <f t="shared" si="1"/>
        <v>"E": { commit: "ㆣ" }</v>
      </c>
      <c r="BQ22" s="106">
        <f t="shared" si="2"/>
        <v>19</v>
      </c>
      <c r="BR22" s="138" t="str">
        <f t="shared" si="3"/>
        <v>- xform/g/E/</v>
      </c>
      <c r="BT22" s="138" t="str">
        <f t="shared" si="4"/>
        <v>- xform/E/ㆣ/</v>
      </c>
    </row>
    <row r="23" spans="1:86" s="106" customFormat="1" ht="45" customHeight="1">
      <c r="B23" s="158" t="s">
        <v>334</v>
      </c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" t="str">
        <f ca="1" xml:space="preserve"> _xlfn.CONCAT(D21:Y21)</f>
        <v>ppʰbmttʰnltsʦʰʣsʨʨʰʥɕkkʰgŋha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BG23" s="136">
        <f t="shared" si="0"/>
        <v>20</v>
      </c>
      <c r="BH23" s="71" t="str">
        <f>注音編碼對照表!C22</f>
        <v>g</v>
      </c>
      <c r="BI23" s="334" t="str" cm="1">
        <f t="array" ref="BI23" xml:space="preserve"> INDEX( 注音編碼對照表[方音符號], MATCH(TRUE, EXACT(注音符號按鍵!$BH23, 注音編碼對照表[鍵盤按鍵]), 0))</f>
        <v>ㄫ</v>
      </c>
      <c r="BJ23" s="335" t="s">
        <v>87</v>
      </c>
      <c r="BK23" s="332" t="str" cm="1">
        <f t="array" ref="BK23" xml:space="preserve"> INDEX( 注音編碼對照表[國際音標], MATCH(TRUE, EXACT(注音符號按鍵!$BH23, 注音編碼對照表[鍵盤按鍵]), 0))</f>
        <v>ŋ</v>
      </c>
      <c r="BL23" s="333" t="str" cm="1">
        <f t="array" ref="BL23" xml:space="preserve"> INDEX( 注音編碼對照表[台語音標], MATCH(TRUE, EXACT(注音符號按鍵!$BH23, 注音編碼對照表[鍵盤按鍵]), 0))</f>
        <v>ng-</v>
      </c>
      <c r="BM23" s="95"/>
      <c r="BO23" s="137" t="str">
        <f xml:space="preserve"> """" &amp; BH23 &amp; """: { commit: """ &amp; BI23 &amp; """ }"</f>
        <v>"g": { commit: "ㄫ" }</v>
      </c>
      <c r="BQ23" s="106">
        <f>BG23</f>
        <v>20</v>
      </c>
      <c r="BR23" s="138" t="str">
        <f xml:space="preserve"> "- xform/" &amp; BK23 &amp; "/" &amp; BH23 &amp; "/"</f>
        <v>- xform/ŋ/g/</v>
      </c>
      <c r="BT23" s="138" t="str">
        <f xml:space="preserve"> "- xform/" &amp; BH23 &amp; "/" &amp; BI23 &amp; "/"</f>
        <v>- xform/g/ㄫ/</v>
      </c>
    </row>
    <row r="24" spans="1:86" s="106" customFormat="1" ht="45" customHeight="1">
      <c r="B24" s="160" t="s">
        <v>335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1"/>
      <c r="U24" s="160"/>
      <c r="V24" s="160"/>
      <c r="W24" s="160"/>
      <c r="X24" s="160"/>
      <c r="Y24" s="160"/>
      <c r="Z24" s="160"/>
      <c r="AA24" s="160" t="s">
        <v>293</v>
      </c>
      <c r="AB24" s="160"/>
      <c r="AC24" s="160"/>
      <c r="AD24" s="160"/>
      <c r="AE24" s="160"/>
      <c r="AF24" s="160"/>
      <c r="AG24" s="160"/>
      <c r="AH24" s="160"/>
      <c r="AI24" s="157"/>
      <c r="AJ24" s="157"/>
      <c r="AK24" s="157"/>
      <c r="AL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36">
        <f t="shared" si="0"/>
        <v>21</v>
      </c>
      <c r="BH24" s="71" t="str">
        <f>注音編碼對照表!C23</f>
        <v>c</v>
      </c>
      <c r="BI24" s="334" t="str" cm="1">
        <f t="array" ref="BI24" xml:space="preserve"> INDEX( 注音編碼對照表[方音符號], MATCH(TRUE, EXACT(注音符號按鍵!$BH24, 注音編碼對照表[鍵盤按鍵]), 0))</f>
        <v>ㄏ</v>
      </c>
      <c r="BJ24" s="335" t="s">
        <v>52</v>
      </c>
      <c r="BK24" s="332" t="str" cm="1">
        <f t="array" ref="BK24" xml:space="preserve"> INDEX( 注音編碼對照表[國際音標], MATCH(TRUE, EXACT(注音符號按鍵!$BH24, 注音編碼對照表[鍵盤按鍵]), 0))</f>
        <v>h</v>
      </c>
      <c r="BL24" s="333" t="str" cm="1">
        <f t="array" ref="BL24" xml:space="preserve"> INDEX( 注音編碼對照表[台語音標], MATCH(TRUE, EXACT(注音符號按鍵!$BH24, 注音編碼對照表[鍵盤按鍵]), 0))</f>
        <v>h</v>
      </c>
      <c r="BM24" s="97"/>
      <c r="BO24" s="137" t="str">
        <f t="shared" ref="BO24:BO55" si="5" xml:space="preserve"> """" &amp; BH24 &amp; """: { commit: """ &amp; BI24 &amp; """ }"</f>
        <v>"c": { commit: "ㄏ" }</v>
      </c>
      <c r="BQ24" s="106">
        <f t="shared" ref="BQ24:BQ63" si="6">BG23</f>
        <v>20</v>
      </c>
      <c r="BR24" s="138" t="str">
        <f t="shared" ref="BR24:BR55" si="7" xml:space="preserve"> "- xform/" &amp; BK24 &amp; "/" &amp; BH24 &amp; "/"</f>
        <v>- xform/h/c/</v>
      </c>
      <c r="BT24" s="138" t="str">
        <f t="shared" ref="BT24:BT55" si="8" xml:space="preserve"> "- xform/" &amp; BH24 &amp; "/" &amp; BI24 &amp; "/"</f>
        <v>- xform/c/ㄏ/</v>
      </c>
    </row>
    <row r="25" spans="1:86" s="106" customFormat="1" ht="45" customHeight="1">
      <c r="B25" s="162" t="s">
        <v>262</v>
      </c>
      <c r="C25" s="163"/>
      <c r="D25" s="164">
        <f ca="1" xml:space="preserve"> LEN(E25)</f>
        <v>70</v>
      </c>
      <c r="E25" s="164" t="str">
        <f ca="1" xml:space="preserve"> _xlfn.CONCAT(D21:BF21)</f>
        <v>ppʰbmttʰnltsʦʰʣsʨʨʰʥɕkkʰgŋhaãiĩuũeẽəɔɔ̃aiãĩɑuãũɨamɔmm̩annɑŋɔŋŋ̍ɲ000000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36">
        <f t="shared" si="0"/>
        <v>22</v>
      </c>
      <c r="BH25" s="71" t="str">
        <f>注音編碼對照表!C24</f>
        <v>8</v>
      </c>
      <c r="BI25" s="334" t="str" cm="1">
        <f t="array" ref="BI25" xml:space="preserve"> INDEX( 注音編碼對照表[方音符號], MATCH(TRUE, EXACT(注音符號按鍵!$BH25, 注音編碼對照表[鍵盤按鍵]), 0))</f>
        <v>ㄚ</v>
      </c>
      <c r="BJ25" s="335" t="s">
        <v>58</v>
      </c>
      <c r="BK25" s="332" t="str" cm="1">
        <f t="array" ref="BK25" xml:space="preserve"> INDEX( 注音編碼對照表[國際音標], MATCH(TRUE, EXACT(注音符號按鍵!$BH25, 注音編碼對照表[鍵盤按鍵]), 0))</f>
        <v>a</v>
      </c>
      <c r="BL25" s="333" t="str" cm="1">
        <f t="array" ref="BL25" xml:space="preserve"> INDEX( 注音編碼對照表[台語音標], MATCH(TRUE, EXACT(注音符號按鍵!$BH25, 注音編碼對照表[鍵盤按鍵]), 0))</f>
        <v>a</v>
      </c>
      <c r="BM25" s="95"/>
      <c r="BO25" s="137" t="str">
        <f t="shared" si="5"/>
        <v>"8": { commit: "ㄚ" }</v>
      </c>
      <c r="BQ25" s="106">
        <f t="shared" si="6"/>
        <v>21</v>
      </c>
      <c r="BR25" s="138" t="str">
        <f t="shared" si="7"/>
        <v>- xform/a/8/</v>
      </c>
      <c r="BT25" s="138" t="str">
        <f t="shared" si="8"/>
        <v>- xform/8/ㄚ/</v>
      </c>
    </row>
    <row r="26" spans="1:86" s="169" customFormat="1" ht="45" customHeight="1">
      <c r="A26" s="106"/>
      <c r="B26" s="165" t="s">
        <v>336</v>
      </c>
      <c r="C26" s="166"/>
      <c r="D26" s="167">
        <f ca="1" xml:space="preserve"> LEN(E26)</f>
        <v>52</v>
      </c>
      <c r="E26" s="167" t="str">
        <f ca="1" xml:space="preserve"> _xlfn.CONCAT(D17:BF17)</f>
        <v>1q!a2wsxyhbnYHBNedEgc8*uUjJ,&lt;kiI9(lL-MOm0p;o/. 64357</v>
      </c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06"/>
      <c r="AL26" s="106"/>
      <c r="AM26" s="106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36">
        <f t="shared" si="0"/>
        <v>23</v>
      </c>
      <c r="BH26" s="71" t="str">
        <f>注音編碼對照表!C25</f>
        <v>*</v>
      </c>
      <c r="BI26" s="334" t="str" cm="1">
        <f t="array" ref="BI26" xml:space="preserve"> INDEX( 注音編碼對照表[方音符號], MATCH(TRUE, EXACT(注音符號按鍵!$BH26, 注音編碼對照表[鍵盤按鍵]), 0))</f>
        <v>ㆩ</v>
      </c>
      <c r="BJ26" s="335" t="s">
        <v>115</v>
      </c>
      <c r="BK26" s="332" t="str" cm="1">
        <f t="array" ref="BK26" xml:space="preserve"> INDEX( 注音編碼對照表[國際音標], MATCH(TRUE, EXACT(注音符號按鍵!$BH26, 注音編碼對照表[鍵盤按鍵]), 0))</f>
        <v>ã</v>
      </c>
      <c r="BL26" s="333" t="str" cm="1">
        <f t="array" ref="BL26" xml:space="preserve"> INDEX( 注音編碼對照表[台語音標], MATCH(TRUE, EXACT(注音符號按鍵!$BH26, 注音編碼對照表[鍵盤按鍵]), 0))</f>
        <v>ann</v>
      </c>
      <c r="BM26" s="95"/>
      <c r="BN26" s="106"/>
      <c r="BO26" s="137" t="str">
        <f t="shared" si="5"/>
        <v>"*": { commit: "ㆩ" }</v>
      </c>
      <c r="BP26" s="106"/>
      <c r="BQ26" s="106">
        <f t="shared" si="6"/>
        <v>22</v>
      </c>
      <c r="BR26" s="138" t="str">
        <f t="shared" si="7"/>
        <v>- xform/ã/*/</v>
      </c>
      <c r="BS26" s="106"/>
      <c r="BT26" s="138" t="str">
        <f t="shared" si="8"/>
        <v>- xform/*/ㆩ/</v>
      </c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</row>
    <row r="27" spans="1:86" s="106" customFormat="1" ht="45" customHeight="1">
      <c r="A27" s="169"/>
      <c r="B27" s="170" t="str">
        <f ca="1" xml:space="preserve"> "- xlit|" &amp; E25 &amp; "|" &amp; E26 &amp; "|"</f>
        <v>- xlit|ppʰbmttʰnltsʦʰʣsʨʨʰʥɕkkʰgŋhaãiĩuũeẽəɔɔ̃aiãĩɑuãũɨamɔmm̩annɑŋɔŋŋ̍ɲ000000|1q!a2wsxyhbnYHBNedEgc8*uUjJ,&lt;kiI9(lL-MOm0p;o/. 64357|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57"/>
      <c r="AL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36">
        <f t="shared" si="0"/>
        <v>24</v>
      </c>
      <c r="BH27" s="71" t="str">
        <f>注音編碼對照表!C26</f>
        <v>u</v>
      </c>
      <c r="BI27" s="334" t="str" cm="1">
        <f t="array" ref="BI27" xml:space="preserve"> INDEX( 注音編碼對照表[方音符號], MATCH(TRUE, EXACT(注音符號按鍵!$BH27, 注音編碼對照表[鍵盤按鍵]), 0))</f>
        <v>ㄧ</v>
      </c>
      <c r="BJ27" s="335" t="s">
        <v>54</v>
      </c>
      <c r="BK27" s="332" t="str" cm="1">
        <f t="array" ref="BK27" xml:space="preserve"> INDEX( 注音編碼對照表[國際音標], MATCH(TRUE, EXACT(注音符號按鍵!$BH27, 注音編碼對照表[鍵盤按鍵]), 0))</f>
        <v>i</v>
      </c>
      <c r="BL27" s="333" t="str" cm="1">
        <f t="array" ref="BL27" xml:space="preserve"> INDEX( 注音編碼對照表[台語音標], MATCH(TRUE, EXACT(注音符號按鍵!$BH27, 注音編碼對照表[鍵盤按鍵]), 0))</f>
        <v>i</v>
      </c>
      <c r="BM27" s="95"/>
      <c r="BN27" s="169"/>
      <c r="BO27" s="137" t="str">
        <f t="shared" si="5"/>
        <v>"u": { commit: "ㄧ" }</v>
      </c>
      <c r="BP27" s="169"/>
      <c r="BQ27" s="169">
        <f t="shared" si="6"/>
        <v>23</v>
      </c>
      <c r="BR27" s="138" t="str">
        <f t="shared" si="7"/>
        <v>- xform/i/u/</v>
      </c>
      <c r="BS27" s="169"/>
      <c r="BT27" s="138" t="str">
        <f t="shared" si="8"/>
        <v>- xform/u/ㄧ/</v>
      </c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</row>
    <row r="28" spans="1:86" s="106" customFormat="1" ht="45" customHeight="1">
      <c r="B28" s="172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68"/>
      <c r="AL28" s="168"/>
      <c r="AN28" s="157"/>
      <c r="AO28" s="157"/>
      <c r="AP28" s="157"/>
      <c r="AQ28" s="157"/>
      <c r="AR28" s="157"/>
      <c r="AS28" s="157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36">
        <f t="shared" si="0"/>
        <v>25</v>
      </c>
      <c r="BH28" s="71" t="str">
        <f>注音編碼對照表!C27</f>
        <v>U</v>
      </c>
      <c r="BI28" s="334" t="str" cm="1">
        <f t="array" ref="BI28" xml:space="preserve"> INDEX( 注音編碼對照表[方音符號], MATCH(TRUE, EXACT(注音符號按鍵!$BH28, 注音編碼對照表[鍵盤按鍵]), 0))</f>
        <v>ㆪ</v>
      </c>
      <c r="BJ28" s="335" t="s">
        <v>111</v>
      </c>
      <c r="BK28" s="332" t="str" cm="1">
        <f t="array" ref="BK28" xml:space="preserve"> INDEX( 注音編碼對照表[國際音標], MATCH(TRUE, EXACT(注音符號按鍵!$BH28, 注音編碼對照表[鍵盤按鍵]), 0))</f>
        <v>ĩ</v>
      </c>
      <c r="BL28" s="333" t="str" cm="1">
        <f t="array" ref="BL28" xml:space="preserve"> INDEX( 注音編碼對照表[台語音標], MATCH(TRUE, EXACT(注音符號按鍵!$BH28, 注音編碼對照表[鍵盤按鍵]), 0))</f>
        <v>inn</v>
      </c>
      <c r="BM28" s="95"/>
      <c r="BO28" s="137" t="str">
        <f t="shared" si="5"/>
        <v>"U": { commit: "ㆪ" }</v>
      </c>
      <c r="BQ28" s="106">
        <f t="shared" si="6"/>
        <v>24</v>
      </c>
      <c r="BR28" s="138" t="str">
        <f t="shared" si="7"/>
        <v>- xform/ĩ/U/</v>
      </c>
      <c r="BT28" s="138" t="str">
        <f t="shared" si="8"/>
        <v>- xform/U/ㆪ/</v>
      </c>
    </row>
    <row r="29" spans="1:86" s="106" customFormat="1" ht="45" customHeight="1">
      <c r="B29" s="162"/>
      <c r="C29" s="163"/>
      <c r="D29" s="164">
        <f ca="1" xml:space="preserve"> LEN(E29)</f>
        <v>68</v>
      </c>
      <c r="E29" s="164" t="str">
        <f ca="1">SUBSTITUTE(SUBSTITUTE(E25, "b", ""), "g", "")</f>
        <v>ppʰmttʰnltsʦʰʣsʨʨʰʥɕkkʰŋhaãiĩuũeẽəɔɔ̃aiãĩɑuãũɨamɔmm̩annɑŋɔŋŋ̍ɲ000000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57"/>
      <c r="AL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36">
        <f t="shared" si="0"/>
        <v>26</v>
      </c>
      <c r="BH29" s="71" t="str">
        <f>注音編碼對照表!C28</f>
        <v>j</v>
      </c>
      <c r="BI29" s="334" t="str" cm="1">
        <f t="array" ref="BI29" xml:space="preserve"> INDEX( 注音編碼對照表[方音符號], MATCH(TRUE, EXACT(注音符號按鍵!$BH29, 注音編碼對照表[鍵盤按鍵]), 0))</f>
        <v>ㄨ</v>
      </c>
      <c r="BJ29" s="335" t="s">
        <v>56</v>
      </c>
      <c r="BK29" s="332" t="str" cm="1">
        <f t="array" ref="BK29" xml:space="preserve"> INDEX( 注音編碼對照表[國際音標], MATCH(TRUE, EXACT(注音符號按鍵!$BH29, 注音編碼對照表[鍵盤按鍵]), 0))</f>
        <v>u</v>
      </c>
      <c r="BL29" s="333" t="str" cm="1">
        <f t="array" ref="BL29" xml:space="preserve"> INDEX( 注音編碼對照表[台語音標], MATCH(TRUE, EXACT(注音符號按鍵!$BH29, 注音編碼對照表[鍵盤按鍵]), 0))</f>
        <v>u</v>
      </c>
      <c r="BM29" s="95"/>
      <c r="BO29" s="137" t="str">
        <f t="shared" si="5"/>
        <v>"j": { commit: "ㄨ" }</v>
      </c>
      <c r="BQ29" s="106">
        <f t="shared" si="6"/>
        <v>25</v>
      </c>
      <c r="BR29" s="138" t="str">
        <f t="shared" si="7"/>
        <v>- xform/u/j/</v>
      </c>
      <c r="BT29" s="138" t="str">
        <f t="shared" si="8"/>
        <v>- xform/j/ㄨ/</v>
      </c>
    </row>
    <row r="30" spans="1:86" s="106" customFormat="1" ht="45" customHeight="1">
      <c r="B30" s="165"/>
      <c r="C30" s="166"/>
      <c r="D30" s="167">
        <f ca="1" xml:space="preserve"> LEN(E30)</f>
        <v>50</v>
      </c>
      <c r="E30" s="167" t="str">
        <f ca="1">SUBSTITUTE(SUBSTITUTE(E26, "!", ""), "E", "")</f>
        <v>1qa2wsxyhbnYHBNedgc8*uUjJ,&lt;kiI9(lL-MOm0p;o/. 64357</v>
      </c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57"/>
      <c r="AL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36">
        <f t="shared" si="0"/>
        <v>27</v>
      </c>
      <c r="BH30" s="71" t="str">
        <f>注音編碼對照表!C29</f>
        <v>J</v>
      </c>
      <c r="BI30" s="334" t="str" cm="1">
        <f t="array" ref="BI30" xml:space="preserve"> INDEX( 注音編碼對照表[方音符號], MATCH(TRUE, EXACT(注音符號按鍵!$BH30, 注音編碼對照表[鍵盤按鍵]), 0))</f>
        <v>ㆫ</v>
      </c>
      <c r="BJ30" s="335" t="s">
        <v>113</v>
      </c>
      <c r="BK30" s="332" t="str" cm="1">
        <f t="array" ref="BK30" xml:space="preserve"> INDEX( 注音編碼對照表[國際音標], MATCH(TRUE, EXACT(注音符號按鍵!$BH30, 注音編碼對照表[鍵盤按鍵]), 0))</f>
        <v>ũ</v>
      </c>
      <c r="BL30" s="333" t="str" cm="1">
        <f t="array" ref="BL30" xml:space="preserve"> INDEX( 注音編碼對照表[台語音標], MATCH(TRUE, EXACT(注音符號按鍵!$BH30, 注音編碼對照表[鍵盤按鍵]), 0))</f>
        <v>unn</v>
      </c>
      <c r="BM30" s="95"/>
      <c r="BO30" s="137" t="str">
        <f t="shared" si="5"/>
        <v>"J": { commit: "ㆫ" }</v>
      </c>
      <c r="BQ30" s="106">
        <f t="shared" si="6"/>
        <v>26</v>
      </c>
      <c r="BR30" s="138" t="str">
        <f t="shared" si="7"/>
        <v>- xform/ũ/J/</v>
      </c>
      <c r="BT30" s="138" t="str">
        <f t="shared" si="8"/>
        <v>- xform/J/ㆫ/</v>
      </c>
    </row>
    <row r="31" spans="1:86" s="106" customFormat="1" ht="45" customHeight="1">
      <c r="B31" s="170" t="str">
        <f ca="1" xml:space="preserve"> "- xlit|" &amp; E29 &amp; "|" &amp; E30 &amp; "|"</f>
        <v>- xlit|ppʰmttʰnltsʦʰʣsʨʨʰʥɕkkʰŋhaãiĩuũeẽəɔɔ̃aiãĩɑuãũɨamɔmm̩annɑŋɔŋŋ̍ɲ000000|1qa2wsxyhbnYHBNedgc8*uUjJ,&lt;kiI9(lL-MOm0p;o/. 64357|</v>
      </c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57"/>
      <c r="AL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36">
        <f t="shared" si="0"/>
        <v>28</v>
      </c>
      <c r="BH31" s="71" t="str">
        <f>注音編碼對照表!C30</f>
        <v>,</v>
      </c>
      <c r="BI31" s="334" t="str" cm="1">
        <f t="array" ref="BI31" xml:space="preserve"> INDEX( 注音編碼對照表[方音符號], MATCH(TRUE, EXACT(注音符號按鍵!$BH31, 注音編碼對照表[鍵盤按鍵]), 0))</f>
        <v>ㆤ</v>
      </c>
      <c r="BJ31" s="335" t="s">
        <v>61</v>
      </c>
      <c r="BK31" s="332" t="str" cm="1">
        <f t="array" ref="BK31" xml:space="preserve"> INDEX( 注音編碼對照表[國際音標], MATCH(TRUE, EXACT(注音符號按鍵!$BH31, 注音編碼對照表[鍵盤按鍵]), 0))</f>
        <v>e</v>
      </c>
      <c r="BL31" s="333" t="str" cm="1">
        <f t="array" ref="BL31" xml:space="preserve"> INDEX( 注音編碼對照表[台語音標], MATCH(TRUE, EXACT(注音符號按鍵!$BH31, 注音編碼對照表[鍵盤按鍵]), 0))</f>
        <v>e</v>
      </c>
      <c r="BM31" s="95"/>
      <c r="BO31" s="137" t="str">
        <f t="shared" si="5"/>
        <v>",": { commit: "ㆤ" }</v>
      </c>
      <c r="BQ31" s="106">
        <f t="shared" si="6"/>
        <v>27</v>
      </c>
      <c r="BR31" s="138" t="str">
        <f t="shared" si="7"/>
        <v>- xform/e/,/</v>
      </c>
      <c r="BT31" s="138" t="str">
        <f t="shared" si="8"/>
        <v>- xform/,/ㆤ/</v>
      </c>
    </row>
    <row r="32" spans="1:86" s="106" customFormat="1" ht="45" customHeight="1">
      <c r="AH32" s="157"/>
      <c r="AI32" s="157"/>
      <c r="AJ32" s="157"/>
      <c r="AK32" s="157"/>
      <c r="AL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36">
        <f t="shared" si="0"/>
        <v>29</v>
      </c>
      <c r="BH32" s="71" t="str">
        <f>注音編碼對照表!C31</f>
        <v>&lt;</v>
      </c>
      <c r="BI32" s="334" t="str" cm="1">
        <f t="array" ref="BI32" xml:space="preserve"> INDEX( 注音編碼對照表[方音符號], MATCH(TRUE, EXACT(注音符號按鍵!$BH32, 注音編碼對照表[鍵盤按鍵]), 0))</f>
        <v>ㆥ</v>
      </c>
      <c r="BJ32" s="335" t="s">
        <v>119</v>
      </c>
      <c r="BK32" s="332" t="str" cm="1">
        <f t="array" ref="BK32" xml:space="preserve"> INDEX( 注音編碼對照表[國際音標], MATCH(TRUE, EXACT(注音符號按鍵!$BH32, 注音編碼對照表[鍵盤按鍵]), 0))</f>
        <v>ẽ</v>
      </c>
      <c r="BL32" s="333" t="str" cm="1">
        <f t="array" ref="BL32" xml:space="preserve"> INDEX( 注音編碼對照表[台語音標], MATCH(TRUE, EXACT(注音符號按鍵!$BH32, 注音編碼對照表[鍵盤按鍵]), 0))</f>
        <v>enn</v>
      </c>
      <c r="BM32" s="95"/>
      <c r="BO32" s="137" t="str">
        <f t="shared" si="5"/>
        <v>"&lt;": { commit: "ㆥ" }</v>
      </c>
      <c r="BQ32" s="106">
        <f t="shared" si="6"/>
        <v>28</v>
      </c>
      <c r="BR32" s="138" t="str">
        <f t="shared" si="7"/>
        <v>- xform/ẽ/&lt;/</v>
      </c>
      <c r="BT32" s="138" t="str">
        <f t="shared" si="8"/>
        <v>- xform/&lt;/ㆥ/</v>
      </c>
    </row>
    <row r="33" spans="1:86" s="106" customFormat="1" ht="45" customHeight="1">
      <c r="B33" s="174" t="s">
        <v>337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57"/>
      <c r="AI33" s="157"/>
      <c r="AJ33" s="157"/>
      <c r="AK33" s="157"/>
      <c r="AL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36">
        <f t="shared" si="0"/>
        <v>30</v>
      </c>
      <c r="BH33" s="71" t="str">
        <f>注音編碼對照表!C32</f>
        <v>k</v>
      </c>
      <c r="BI33" s="334" t="str" cm="1">
        <f t="array" ref="BI33" xml:space="preserve"> INDEX( 注音編碼對照表[方音符號], MATCH(TRUE, EXACT(注音符號按鍵!$BH33, 注音編碼對照表[鍵盤按鍵]), 0))</f>
        <v>ㄜ</v>
      </c>
      <c r="BJ33" s="335" t="s">
        <v>284</v>
      </c>
      <c r="BK33" s="332" t="str" cm="1">
        <f t="array" ref="BK33" xml:space="preserve"> INDEX( 注音編碼對照表[國際音標], MATCH(TRUE, EXACT(注音符號按鍵!$BH33, 注音編碼對照表[鍵盤按鍵]), 0))</f>
        <v>ə</v>
      </c>
      <c r="BL33" s="333" t="str" cm="1">
        <f t="array" ref="BL33" xml:space="preserve"> INDEX( 注音編碼對照表[台語音標], MATCH(TRUE, EXACT(注音符號按鍵!$BH33, 注音編碼對照表[鍵盤按鍵]), 0))</f>
        <v>o</v>
      </c>
      <c r="BM33" s="95"/>
      <c r="BO33" s="137" t="str">
        <f t="shared" si="5"/>
        <v>"k": { commit: "ㄜ" }</v>
      </c>
      <c r="BQ33" s="106">
        <f t="shared" si="6"/>
        <v>29</v>
      </c>
      <c r="BR33" s="138" t="str">
        <f t="shared" si="7"/>
        <v>- xform/ə/k/</v>
      </c>
      <c r="BT33" s="138" t="str">
        <f t="shared" si="8"/>
        <v>- xform/k/ㄜ/</v>
      </c>
    </row>
    <row r="34" spans="1:86" s="106" customFormat="1" ht="45" customHeight="1">
      <c r="B34" s="160" t="s">
        <v>338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1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36">
        <f t="shared" si="0"/>
        <v>31</v>
      </c>
      <c r="BH34" s="71" t="str">
        <f>注音編碼對照表!C33</f>
        <v>i</v>
      </c>
      <c r="BI34" s="334" t="str" cm="1">
        <f t="array" ref="BI34" xml:space="preserve"> INDEX( 注音編碼對照表[方音符號], MATCH(TRUE, EXACT(注音符號按鍵!$BH34, 注音編碼對照表[鍵盤按鍵]), 0))</f>
        <v>ㆦ</v>
      </c>
      <c r="BJ34" s="335" t="s">
        <v>67</v>
      </c>
      <c r="BK34" s="332" t="str" cm="1">
        <f t="array" ref="BK34" xml:space="preserve"> INDEX( 注音編碼對照表[國際音標], MATCH(TRUE, EXACT(注音符號按鍵!$BH34, 注音編碼對照表[鍵盤按鍵]), 0))</f>
        <v>ɔ</v>
      </c>
      <c r="BL34" s="333" t="str" cm="1">
        <f t="array" ref="BL34" xml:space="preserve"> INDEX( 注音編碼對照表[台語音標], MATCH(TRUE, EXACT(注音符號按鍵!$BH34, 注音編碼對照表[鍵盤按鍵]), 0))</f>
        <v>oo</v>
      </c>
      <c r="BM34" s="95"/>
      <c r="BO34" s="137" t="str">
        <f t="shared" si="5"/>
        <v>"i": { commit: "ㆦ" }</v>
      </c>
      <c r="BQ34" s="106">
        <f t="shared" si="6"/>
        <v>30</v>
      </c>
      <c r="BR34" s="138" t="str">
        <f t="shared" si="7"/>
        <v>- xform/ɔ/i/</v>
      </c>
      <c r="BT34" s="138" t="str">
        <f t="shared" si="8"/>
        <v>- xform/i/ㆦ/</v>
      </c>
    </row>
    <row r="35" spans="1:86" s="106" customFormat="1" ht="45" customHeight="1">
      <c r="B35" s="175" t="s">
        <v>243</v>
      </c>
      <c r="C35" s="176"/>
      <c r="D35" s="176">
        <f ca="1" xml:space="preserve"> LEN(E35)</f>
        <v>52</v>
      </c>
      <c r="E35" s="177" t="str">
        <f ca="1" xml:space="preserve"> _xlfn.CONCAT(D17:BF17)</f>
        <v>1q!a2wsxyhbnYHBNedEgc8*uUjJ,&lt;kiI9(lL-MOm0p;o/. 64357</v>
      </c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157"/>
      <c r="BD35" s="157"/>
      <c r="BE35" s="157"/>
      <c r="BF35" s="157"/>
      <c r="BG35" s="136">
        <f t="shared" si="0"/>
        <v>32</v>
      </c>
      <c r="BH35" s="71" t="str">
        <f>注音編碼對照表!C34</f>
        <v>I</v>
      </c>
      <c r="BI35" s="334" t="str" cm="1">
        <f t="array" ref="BI35" xml:space="preserve"> INDEX( 注音編碼對照表[方音符號], MATCH(TRUE, EXACT(注音符號按鍵!$BH35, 注音編碼對照表[鍵盤按鍵]), 0))</f>
        <v>ㆧ</v>
      </c>
      <c r="BJ35" s="335" t="s">
        <v>121</v>
      </c>
      <c r="BK35" s="332" t="str" cm="1">
        <f t="array" ref="BK35" xml:space="preserve"> INDEX( 注音編碼對照表[國際音標], MATCH(TRUE, EXACT(注音符號按鍵!$BH35, 注音編碼對照表[鍵盤按鍵]), 0))</f>
        <v>ɔ̃</v>
      </c>
      <c r="BL35" s="333" t="str" cm="1">
        <f t="array" ref="BL35" xml:space="preserve"> INDEX( 注音編碼對照表[台語音標], MATCH(TRUE, EXACT(注音符號按鍵!$BH35, 注音編碼對照表[鍵盤按鍵]), 0))</f>
        <v>onn</v>
      </c>
      <c r="BM35" s="95"/>
      <c r="BO35" s="137" t="str">
        <f t="shared" si="5"/>
        <v>"I": { commit: "ㆧ" }</v>
      </c>
      <c r="BQ35" s="106">
        <f t="shared" si="6"/>
        <v>31</v>
      </c>
      <c r="BR35" s="138" t="str">
        <f t="shared" si="7"/>
        <v>- xform/ɔ̃/I/</v>
      </c>
      <c r="BT35" s="138" t="str">
        <f t="shared" si="8"/>
        <v>- xform/I/ㆧ/</v>
      </c>
    </row>
    <row r="36" spans="1:86" s="106" customFormat="1" ht="45" customHeight="1">
      <c r="B36" s="178" t="s">
        <v>15</v>
      </c>
      <c r="C36" s="179"/>
      <c r="D36" s="179">
        <f ca="1">LEN(E36)</f>
        <v>52</v>
      </c>
      <c r="E36" s="178" t="str">
        <f ca="1" xml:space="preserve"> _xlfn.CONCAT(D19:BF19)</f>
        <v>ㄅㄆㆠㄇㄉㄊㄋㄌㄗㄘㆡㄙㄐㄑㆢㄒㄍㄎㆣㄫㄏㄚㆩㄧㆪㄨㆫㆤㆥㄜㆦㆧㄞㆮㄠㆯㆨㆰㆱㆬㄢㄣㄤㆲㆭㄬˉˊˋ˪˫˙</v>
      </c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7"/>
      <c r="AL36" s="157"/>
      <c r="AM36" s="180" t="s">
        <v>264</v>
      </c>
      <c r="AN36" s="180" t="s">
        <v>271</v>
      </c>
      <c r="AO36" s="180" t="s">
        <v>293</v>
      </c>
      <c r="AP36" s="180" t="s">
        <v>268</v>
      </c>
      <c r="AQ36" s="180" t="s">
        <v>69</v>
      </c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36">
        <f t="shared" si="0"/>
        <v>33</v>
      </c>
      <c r="BH36" s="71" t="str">
        <f>注音編碼對照表!C35</f>
        <v>9</v>
      </c>
      <c r="BI36" s="334" t="str" cm="1">
        <f t="array" ref="BI36" xml:space="preserve"> INDEX( 注音編碼對照表[方音符號], MATCH(TRUE, EXACT(注音符號按鍵!$BH36, 注音編碼對照表[鍵盤按鍵]), 0))</f>
        <v>ㄞ</v>
      </c>
      <c r="BJ36" s="335" t="s">
        <v>189</v>
      </c>
      <c r="BK36" s="332" t="str" cm="1">
        <f t="array" ref="BK36" xml:space="preserve"> INDEX( 注音編碼對照表[國際音標], MATCH(TRUE, EXACT(注音符號按鍵!$BH36, 注音編碼對照表[鍵盤按鍵]), 0))</f>
        <v>ai</v>
      </c>
      <c r="BL36" s="333" t="str" cm="1">
        <f t="array" ref="BL36" xml:space="preserve"> INDEX( 注音編碼對照表[台語音標], MATCH(TRUE, EXACT(注音符號按鍵!$BH36, 注音編碼對照表[鍵盤按鍵]), 0))</f>
        <v>ai</v>
      </c>
      <c r="BM36" s="95"/>
      <c r="BO36" s="137" t="str">
        <f t="shared" si="5"/>
        <v>"9": { commit: "ㄞ" }</v>
      </c>
      <c r="BQ36" s="106">
        <f t="shared" si="6"/>
        <v>32</v>
      </c>
      <c r="BR36" s="138" t="str">
        <f t="shared" si="7"/>
        <v>- xform/ai/9/</v>
      </c>
      <c r="BT36" s="138" t="str">
        <f t="shared" si="8"/>
        <v>- xform/9/ㄞ/</v>
      </c>
    </row>
    <row r="37" spans="1:86" s="106" customFormat="1" ht="45" customHeight="1">
      <c r="B37" s="170" t="str">
        <f ca="1" xml:space="preserve"> "- xlit|" &amp; E35 &amp; "|" &amp; E36 &amp; "|"</f>
        <v>- xlit|1q!a2wsxyhbnYHBNedEgc8*uUjJ,&lt;kiI9(lL-MOm0p;o/. 64357|ㄅㄆㆠㄇㄉㄊㄋㄌㄗㄘㆡㄙㄐㄑㆢㄒㄍㄎㆣㄫㄏㄚㆩㄧㆪㄨㆫㆤㆥㄜㆦㆧㄞㆮㄠㆯㆨㆰㆱㆬㄢㄣㄤㆲㆭㄬˉˊˋ˪˫˙|</v>
      </c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71"/>
      <c r="AH37" s="171"/>
      <c r="AI37" s="171"/>
      <c r="AJ37" s="171"/>
      <c r="AK37" s="157"/>
      <c r="AL37" s="157"/>
      <c r="AM37" s="180">
        <f ca="1" xml:space="preserve"> FIND(AM36, $E$35)</f>
        <v>3</v>
      </c>
      <c r="AN37" s="180">
        <f ca="1" xml:space="preserve"> FIND(AN36, $E$35)</f>
        <v>19</v>
      </c>
      <c r="AO37" s="180" t="e">
        <f ca="1" xml:space="preserve"> FIND(AO36, $E$35)</f>
        <v>#VALUE!</v>
      </c>
      <c r="AP37" s="180" t="e">
        <f ca="1" xml:space="preserve"> FIND(AP36, $E$35)</f>
        <v>#VALUE!</v>
      </c>
      <c r="AQ37" s="180">
        <f ca="1" xml:space="preserve"> FIND(AQ36, $E$35)</f>
        <v>39</v>
      </c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36">
        <f t="shared" si="0"/>
        <v>34</v>
      </c>
      <c r="BH37" s="71" t="str">
        <f>注音編碼對照表!C36</f>
        <v>(</v>
      </c>
      <c r="BI37" s="334" t="str" cm="1">
        <f t="array" ref="BI37" xml:space="preserve"> INDEX( 注音編碼對照表[方音符號], MATCH(TRUE, EXACT(注音符號按鍵!$BH37, 注音編碼對照表[鍵盤按鍵]), 0))</f>
        <v>ㆮ</v>
      </c>
      <c r="BJ37" s="335" t="s">
        <v>117</v>
      </c>
      <c r="BK37" s="332" t="str" cm="1">
        <f t="array" ref="BK37" xml:space="preserve"> INDEX( 注音編碼對照表[國際音標], MATCH(TRUE, EXACT(注音符號按鍵!$BH37, 注音編碼對照表[鍵盤按鍵]), 0))</f>
        <v>ãĩ</v>
      </c>
      <c r="BL37" s="333" t="str" cm="1">
        <f t="array" ref="BL37" xml:space="preserve"> INDEX( 注音編碼對照表[台語音標], MATCH(TRUE, EXACT(注音符號按鍵!$BH37, 注音編碼對照表[鍵盤按鍵]), 0))</f>
        <v>ainn</v>
      </c>
      <c r="BM37" s="95"/>
      <c r="BO37" s="137" t="str">
        <f t="shared" si="5"/>
        <v>"(": { commit: "ㆮ" }</v>
      </c>
      <c r="BQ37" s="106">
        <f t="shared" si="6"/>
        <v>33</v>
      </c>
      <c r="BR37" s="138" t="str">
        <f t="shared" si="7"/>
        <v>- xform/ãĩ/(/</v>
      </c>
      <c r="BT37" s="138" t="str">
        <f t="shared" si="8"/>
        <v>- xform/(/ㆮ/</v>
      </c>
    </row>
    <row r="38" spans="1:86" s="106" customFormat="1" ht="45" customHeight="1">
      <c r="B38" s="172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57"/>
      <c r="AL38" s="157"/>
      <c r="AM38" s="180" t="str">
        <f ca="1" xml:space="preserve"> MID($E$36,AM37,1)</f>
        <v>ㆠ</v>
      </c>
      <c r="AN38" s="180" t="str">
        <f ca="1" xml:space="preserve"> MID($E$36,AN37,1)</f>
        <v>ㆣ</v>
      </c>
      <c r="AO38" s="180" t="e">
        <f ca="1" xml:space="preserve"> MID($E$36,AO37,1)</f>
        <v>#VALUE!</v>
      </c>
      <c r="AP38" s="180" t="e">
        <f ca="1" xml:space="preserve"> MID($E$36,AP37,1)</f>
        <v>#VALUE!</v>
      </c>
      <c r="AQ38" s="180" t="str">
        <f ca="1" xml:space="preserve"> MID($E$36,AQ37,1)</f>
        <v>ㆱ</v>
      </c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7"/>
      <c r="BD38" s="157"/>
      <c r="BE38" s="157"/>
      <c r="BF38" s="157"/>
      <c r="BG38" s="136">
        <f t="shared" si="0"/>
        <v>35</v>
      </c>
      <c r="BH38" s="71" t="str">
        <f>注音編碼對照表!C37</f>
        <v>l</v>
      </c>
      <c r="BI38" s="334" t="str" cm="1">
        <f t="array" ref="BI38" xml:space="preserve"> INDEX( 注音編碼對照表[方音符號], MATCH(TRUE, EXACT(注音符號按鍵!$BH38, 注音編碼對照表[鍵盤按鍵]), 0))</f>
        <v>ㄠ</v>
      </c>
      <c r="BJ38" s="335" t="s">
        <v>72</v>
      </c>
      <c r="BK38" s="332" t="str" cm="1">
        <f t="array" ref="BK38" xml:space="preserve"> INDEX( 注音編碼對照表[國際音標], MATCH(TRUE, EXACT(注音符號按鍵!$BH38, 注音編碼對照表[鍵盤按鍵]), 0))</f>
        <v>ɑu</v>
      </c>
      <c r="BL38" s="333" t="str" cm="1">
        <f t="array" ref="BL38" xml:space="preserve"> INDEX( 注音編碼對照表[台語音標], MATCH(TRUE, EXACT(注音符號按鍵!$BH38, 注音編碼對照表[鍵盤按鍵]), 0))</f>
        <v>au</v>
      </c>
      <c r="BM38" s="95"/>
      <c r="BO38" s="137" t="str">
        <f t="shared" si="5"/>
        <v>"l": { commit: "ㄠ" }</v>
      </c>
      <c r="BQ38" s="106">
        <f t="shared" si="6"/>
        <v>34</v>
      </c>
      <c r="BR38" s="138" t="str">
        <f t="shared" si="7"/>
        <v>- xform/ɑu/l/</v>
      </c>
      <c r="BT38" s="138" t="str">
        <f t="shared" si="8"/>
        <v>- xform/l/ㄠ/</v>
      </c>
    </row>
    <row r="39" spans="1:86" s="106" customFormat="1" ht="45" customHeight="1">
      <c r="B39" s="162"/>
      <c r="C39" s="163"/>
      <c r="D39" s="164">
        <f ca="1" xml:space="preserve"> LEN(E39)</f>
        <v>52</v>
      </c>
      <c r="E39" s="164" t="str">
        <f ca="1" xml:space="preserve"> SUBSTITUTE(E35, _xlfn.CONCAT(AM36:AQ36), "")</f>
        <v>1q!a2wsxyhbnYHBNedEgc8*uUjJ,&lt;kiI9(lL-MOm0p;o/. 64357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57"/>
      <c r="AL39" s="157" t="str">
        <f ca="1">$E$35</f>
        <v>1q!a2wsxyhbnYHBNedEgc8*uUjJ,&lt;kiI9(lL-MOm0p;o/. 64357</v>
      </c>
      <c r="AM39" s="106" t="str">
        <f ca="1" xml:space="preserve"> SUBSTITUTE(AL39, MID(AL39, FIND(AM36,AL39), 1), "")</f>
        <v>1qa2wsxyhbnYHBNedEgc8*uUjJ,&lt;kiI9(lL-MOm0p;o/. 64357</v>
      </c>
      <c r="AN39" s="106" t="str">
        <f ca="1" xml:space="preserve"> SUBSTITUTE(AM39, MID(AM39, FIND(AN36,AM39), 1), "")</f>
        <v>1qa2wsxyhbnYHBNedgc8*uUjJ,&lt;kiI9(lL-MOm0p;o/. 64357</v>
      </c>
      <c r="AO39" s="106" t="e">
        <f ca="1" xml:space="preserve"> SUBSTITUTE(AN39, MID(AN39, FIND(AO36,AN39), 1), "")</f>
        <v>#VALUE!</v>
      </c>
      <c r="AP39" s="106" t="e">
        <f ca="1" xml:space="preserve"> SUBSTITUTE(AO39, MID(AO39, FIND(AP36,AO39), 1), "")</f>
        <v>#VALUE!</v>
      </c>
      <c r="AQ39" s="182" t="e">
        <f ca="1" xml:space="preserve"> SUBSTITUTE(AP39, MID(AP39, FIND(AQ36,AP39), 1), "")</f>
        <v>#VALUE!</v>
      </c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36">
        <f t="shared" si="0"/>
        <v>36</v>
      </c>
      <c r="BH39" s="71" t="str">
        <f>注音編碼對照表!C38</f>
        <v>L</v>
      </c>
      <c r="BI39" s="334" t="str" cm="1">
        <f t="array" ref="BI39" xml:space="preserve"> INDEX( 注音編碼對照表[方音符號], MATCH(TRUE, EXACT(注音符號按鍵!$BH39, 注音編碼對照表[鍵盤按鍵]), 0))</f>
        <v>ㆯ</v>
      </c>
      <c r="BJ39" s="335" t="s">
        <v>123</v>
      </c>
      <c r="BK39" s="332" t="str" cm="1">
        <f t="array" ref="BK39" xml:space="preserve"> INDEX( 注音編碼對照表[國際音標], MATCH(TRUE, EXACT(注音符號按鍵!$BH39, 注音編碼對照表[鍵盤按鍵]), 0))</f>
        <v>ãũ</v>
      </c>
      <c r="BL39" s="333" t="str" cm="1">
        <f t="array" ref="BL39" xml:space="preserve"> INDEX( 注音編碼對照表[台語音標], MATCH(TRUE, EXACT(注音符號按鍵!$BH39, 注音編碼對照表[鍵盤按鍵]), 0))</f>
        <v>aunn</v>
      </c>
      <c r="BM39" s="95"/>
      <c r="BO39" s="137" t="str">
        <f t="shared" si="5"/>
        <v>"L": { commit: "ㆯ" }</v>
      </c>
      <c r="BQ39" s="106">
        <f t="shared" si="6"/>
        <v>35</v>
      </c>
      <c r="BR39" s="138" t="str">
        <f t="shared" si="7"/>
        <v>- xform/ãũ/L/</v>
      </c>
      <c r="BT39" s="138" t="str">
        <f t="shared" si="8"/>
        <v>- xform/L/ㆯ/</v>
      </c>
    </row>
    <row r="40" spans="1:86" s="106" customFormat="1" ht="45" customHeight="1">
      <c r="B40" s="165"/>
      <c r="C40" s="166"/>
      <c r="D40" s="167" t="e">
        <f ca="1" xml:space="preserve"> LEN(E40)</f>
        <v>#VALUE!</v>
      </c>
      <c r="E40" s="167" t="e">
        <f ca="1">SUBSTITUTE( SUBSTITUTE(SUBSTITUTE(E36, AM40, ""), AN40, ""), AO40, "")</f>
        <v>#VALUE!</v>
      </c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57"/>
      <c r="AL40" s="157" t="str">
        <f ca="1">$E$36</f>
        <v>ㄅㄆㆠㄇㄉㄊㄋㄌㄗㄘㆡㄙㄐㄑㆢㄒㄍㄎㆣㄫㄏㄚㆩㄧㆪㄨㆫㆤㆥㄜㆦㆧㄞㆮㄠㆯㆨㆰㆱㆬㄢㄣㄤㆲㆭㄬˉˊˋ˪˫˙</v>
      </c>
      <c r="AM40" s="106" t="str">
        <f ca="1" xml:space="preserve"> SUBSTITUTE(AL40, MID(AL40, FIND(AM38,AL40), 1), "")</f>
        <v>ㄅㄆㄇㄉㄊㄋㄌㄗㄘㆡㄙㄐㄑㆢㄒㄍㄎㆣㄫㄏㄚㆩㄧㆪㄨㆫㆤㆥㄜㆦㆧㄞㆮㄠㆯㆨㆰㆱㆬㄢㄣㄤㆲㆭㄬˉˊˋ˪˫˙</v>
      </c>
      <c r="AN40" s="106" t="str">
        <f ca="1" xml:space="preserve"> SUBSTITUTE(AM40, MID(AM40, FIND(AN38,AM40), 1), "")</f>
        <v>ㄅㄆㄇㄉㄊㄋㄌㄗㄘㆡㄙㄐㄑㆢㄒㄍㄎㄫㄏㄚㆩㄧㆪㄨㆫㆤㆥㄜㆦㆧㄞㆮㄠㆯㆨㆰㆱㆬㄢㄣㄤㆲㆭㄬˉˊˋ˪˫˙</v>
      </c>
      <c r="AO40" s="106" t="e">
        <f ca="1" xml:space="preserve"> SUBSTITUTE(AN40, MID(AN40, FIND(AO38,AN40), 1), "")</f>
        <v>#VALUE!</v>
      </c>
      <c r="AP40" s="106" t="e">
        <f ca="1" xml:space="preserve"> SUBSTITUTE(AO40, MID(AO40, FIND(AP38,AO40), 1), "")</f>
        <v>#VALUE!</v>
      </c>
      <c r="AQ40" s="182" t="e">
        <f ca="1" xml:space="preserve"> SUBSTITUTE(AP40, MID(AP40, FIND(AQ38,AP40), 1), "")</f>
        <v>#VALUE!</v>
      </c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36">
        <f t="shared" si="0"/>
        <v>37</v>
      </c>
      <c r="BH40" s="71" t="str">
        <f>注音編碼對照表!C39</f>
        <v>-</v>
      </c>
      <c r="BI40" s="334" t="str" cm="1">
        <f t="array" ref="BI40" xml:space="preserve"> INDEX( 注音編碼對照表[方音符號], MATCH(TRUE, EXACT(注音符號按鍵!$BH40, 注音編碼對照表[鍵盤按鍵]), 0))</f>
        <v>ㆨ</v>
      </c>
      <c r="BJ40" s="335" t="s">
        <v>345</v>
      </c>
      <c r="BK40" s="332" t="str" cm="1">
        <f t="array" ref="BK40" xml:space="preserve"> INDEX( 注音編碼對照表[國際音標], MATCH(TRUE, EXACT(注音符號按鍵!$BH40, 注音編碼對照表[鍵盤按鍵]), 0))</f>
        <v>ɨ</v>
      </c>
      <c r="BL40" s="333" t="str" cm="1">
        <f t="array" ref="BL40" xml:space="preserve"> INDEX( 注音編碼對照表[台語音標], MATCH(TRUE, EXACT(注音符號按鍵!$BH40, 注音編碼對照表[鍵盤按鍵]), 0))</f>
        <v>ir</v>
      </c>
      <c r="BM40" s="95"/>
      <c r="BO40" s="137" t="str">
        <f t="shared" si="5"/>
        <v>"-": { commit: "ㆨ" }</v>
      </c>
      <c r="BQ40" s="106">
        <f t="shared" si="6"/>
        <v>36</v>
      </c>
      <c r="BR40" s="138" t="str">
        <f t="shared" si="7"/>
        <v>- xform/ɨ/-/</v>
      </c>
      <c r="BT40" s="138" t="str">
        <f t="shared" si="8"/>
        <v>- xform/-/ㆨ/</v>
      </c>
    </row>
    <row r="41" spans="1:86" s="106" customFormat="1" ht="45" customHeight="1">
      <c r="B41" s="170" t="e">
        <f ca="1" xml:space="preserve"> "- xlit|" &amp; E39 &amp; "|" &amp; E40 &amp; "|"</f>
        <v>#VALUE!</v>
      </c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36">
        <f t="shared" si="0"/>
        <v>38</v>
      </c>
      <c r="BH41" s="71" t="str">
        <f>注音編碼對照表!C40</f>
        <v>M</v>
      </c>
      <c r="BI41" s="334" t="str" cm="1">
        <f t="array" ref="BI41" xml:space="preserve"> INDEX( 注音編碼對照表[方音符號], MATCH(TRUE, EXACT(注音符號按鍵!$BH41, 注音編碼對照表[鍵盤按鍵]), 0))</f>
        <v>ㆰ</v>
      </c>
      <c r="BJ41" s="335" t="s">
        <v>99</v>
      </c>
      <c r="BK41" s="332" t="str" cm="1">
        <f t="array" ref="BK41" xml:space="preserve"> INDEX( 注音編碼對照表[國際音標], MATCH(TRUE, EXACT(注音符號按鍵!$BH41, 注音編碼對照表[鍵盤按鍵]), 0))</f>
        <v>am</v>
      </c>
      <c r="BL41" s="333" t="str" cm="1">
        <f t="array" ref="BL41" xml:space="preserve"> INDEX( 注音編碼對照表[台語音標], MATCH(TRUE, EXACT(注音符號按鍵!$BH41, 注音編碼對照表[鍵盤按鍵]), 0))</f>
        <v>am</v>
      </c>
      <c r="BM41" s="95"/>
      <c r="BO41" s="137" t="str">
        <f t="shared" si="5"/>
        <v>"M": { commit: "ㆰ" }</v>
      </c>
      <c r="BQ41" s="106">
        <f t="shared" si="6"/>
        <v>37</v>
      </c>
      <c r="BR41" s="138" t="str">
        <f t="shared" si="7"/>
        <v>- xform/am/M/</v>
      </c>
      <c r="BT41" s="138" t="str">
        <f t="shared" si="8"/>
        <v>- xform/M/ㆰ/</v>
      </c>
    </row>
    <row r="42" spans="1:86" s="106" customFormat="1" ht="45" customHeight="1">
      <c r="AH42" s="157"/>
      <c r="AI42" s="157"/>
      <c r="AJ42" s="157"/>
      <c r="AK42" s="183"/>
      <c r="AL42" s="183"/>
      <c r="AM42" s="157" t="e">
        <f ca="1">AQ39</f>
        <v>#VALUE!</v>
      </c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36">
        <f t="shared" si="0"/>
        <v>39</v>
      </c>
      <c r="BH42" s="71" t="str">
        <f>注音編碼對照表!C41</f>
        <v>O</v>
      </c>
      <c r="BI42" s="334" t="str" cm="1">
        <f t="array" ref="BI42" xml:space="preserve"> INDEX( 注音編碼對照表[方音符號], MATCH(TRUE, EXACT(注音符號按鍵!$BH42, 注音編碼對照表[鍵盤按鍵]), 0))</f>
        <v>ㆱ</v>
      </c>
      <c r="BJ42" s="335" t="s">
        <v>125</v>
      </c>
      <c r="BK42" s="332" t="str" cm="1">
        <f t="array" ref="BK42" xml:space="preserve"> INDEX( 注音編碼對照表[國際音標], MATCH(TRUE, EXACT(注音符號按鍵!$BH42, 注音編碼對照表[鍵盤按鍵]), 0))</f>
        <v>ɔm</v>
      </c>
      <c r="BL42" s="333" t="str" cm="1">
        <f t="array" ref="BL42" xml:space="preserve"> INDEX( 注音編碼對照表[台語音標], MATCH(TRUE, EXACT(注音符號按鍵!$BH42, 注音編碼對照表[鍵盤按鍵]), 0))</f>
        <v>om</v>
      </c>
      <c r="BM42" s="95"/>
      <c r="BO42" s="137" t="str">
        <f t="shared" si="5"/>
        <v>"O": { commit: "ㆱ" }</v>
      </c>
      <c r="BQ42" s="106">
        <f t="shared" si="6"/>
        <v>38</v>
      </c>
      <c r="BR42" s="138" t="str">
        <f t="shared" si="7"/>
        <v>- xform/ɔm/O/</v>
      </c>
      <c r="BT42" s="138" t="str">
        <f t="shared" si="8"/>
        <v>- xform/O/ㆱ/</v>
      </c>
    </row>
    <row r="43" spans="1:86" ht="45" customHeight="1">
      <c r="A43" s="106"/>
      <c r="B43" s="174" t="s">
        <v>339</v>
      </c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57"/>
      <c r="AI43" s="157"/>
      <c r="AJ43" s="157"/>
      <c r="AK43" s="183"/>
      <c r="AL43" s="183"/>
      <c r="AM43" s="157" t="e">
        <f ca="1">AQ40</f>
        <v>#VALUE!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36">
        <f t="shared" si="0"/>
        <v>40</v>
      </c>
      <c r="BH43" s="71" t="str">
        <f>注音編碼對照表!C42</f>
        <v>m</v>
      </c>
      <c r="BI43" s="334" t="str" cm="1">
        <f t="array" ref="BI43" xml:space="preserve"> INDEX( 注音編碼對照表[方音符號], MATCH(TRUE, EXACT(注音符號按鍵!$BH43, 注音編碼對照表[鍵盤按鍵]), 0))</f>
        <v>ㆬ</v>
      </c>
      <c r="BJ43" s="335" t="s">
        <v>144</v>
      </c>
      <c r="BK43" s="332" t="str" cm="1">
        <f t="array" ref="BK43" xml:space="preserve"> INDEX( 注音編碼對照表[國際音標], MATCH(TRUE, EXACT(注音符號按鍵!$BH43, 注音編碼對照表[鍵盤按鍵]), 0))</f>
        <v>m̩</v>
      </c>
      <c r="BL43" s="333" t="str" cm="1">
        <f t="array" ref="BL43" xml:space="preserve"> INDEX( 注音編碼對照表[台語音標], MATCH(TRUE, EXACT(注音符號按鍵!$BH43, 注音編碼對照表[鍵盤按鍵]), 0))</f>
        <v>-m</v>
      </c>
      <c r="BM43" s="95"/>
      <c r="BN43" s="106"/>
      <c r="BO43" s="137" t="str">
        <f t="shared" si="5"/>
        <v>"m": { commit: "ㆬ" }</v>
      </c>
      <c r="BP43" s="106"/>
      <c r="BQ43" s="106">
        <f t="shared" si="6"/>
        <v>39</v>
      </c>
      <c r="BR43" s="138" t="str">
        <f t="shared" si="7"/>
        <v>- xform/m̩/m/</v>
      </c>
      <c r="BS43" s="106"/>
      <c r="BT43" s="138" t="str">
        <f t="shared" si="8"/>
        <v>- xform/m/ㆬ/</v>
      </c>
      <c r="BU43" s="106"/>
      <c r="BV43" s="106"/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</row>
    <row r="44" spans="1:86" ht="45" customHeight="1">
      <c r="B44" s="160" t="s">
        <v>340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1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57"/>
      <c r="AI44" s="157"/>
      <c r="AJ44" s="157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36">
        <f t="shared" si="0"/>
        <v>41</v>
      </c>
      <c r="BH44" s="71" t="str">
        <f>注音編碼對照表!C43</f>
        <v>0</v>
      </c>
      <c r="BI44" s="334" t="str" cm="1">
        <f t="array" ref="BI44" xml:space="preserve"> INDEX( 注音編碼對照表[方音符號], MATCH(TRUE, EXACT(注音符號按鍵!$BH44, 注音編碼對照表[鍵盤按鍵]), 0))</f>
        <v>ㄢ</v>
      </c>
      <c r="BJ44" s="335" t="s">
        <v>97</v>
      </c>
      <c r="BK44" s="332" t="str" cm="1">
        <f t="array" ref="BK44" xml:space="preserve"> INDEX( 注音編碼對照表[國際音標], MATCH(TRUE, EXACT(注音符號按鍵!$BH44, 注音編碼對照表[鍵盤按鍵]), 0))</f>
        <v>an</v>
      </c>
      <c r="BL44" s="333" t="str" cm="1">
        <f t="array" ref="BL44" xml:space="preserve"> INDEX( 注音編碼對照表[台語音標], MATCH(TRUE, EXACT(注音符號按鍵!$BH44, 注音編碼對照表[鍵盤按鍵]), 0))</f>
        <v>an</v>
      </c>
      <c r="BM44" s="95"/>
      <c r="BO44" s="137" t="str">
        <f t="shared" si="5"/>
        <v>"0": { commit: "ㄢ" }</v>
      </c>
      <c r="BQ44" s="113">
        <f t="shared" si="6"/>
        <v>40</v>
      </c>
      <c r="BR44" s="138" t="str">
        <f t="shared" si="7"/>
        <v>- xform/an/0/</v>
      </c>
      <c r="BT44" s="138" t="str">
        <f t="shared" si="8"/>
        <v>- xform/0/ㄢ/</v>
      </c>
    </row>
    <row r="45" spans="1:86" ht="45" customHeight="1">
      <c r="B45" s="175" t="s">
        <v>341</v>
      </c>
      <c r="C45" s="176"/>
      <c r="D45" s="176">
        <f ca="1" xml:space="preserve"> LEN(E45)</f>
        <v>70</v>
      </c>
      <c r="E45" s="177" t="str">
        <f ca="1" xml:space="preserve"> _xlfn.CONCAT(D21:BF21)</f>
        <v>ppʰbmttʰnltsʦʰʣsʨʨʰʥɕkkʰgŋhaãiĩuũeẽəɔɔ̃aiãĩɑuãũɨamɔmm̩annɑŋɔŋŋ̍ɲ000000</v>
      </c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36">
        <f t="shared" si="0"/>
        <v>42</v>
      </c>
      <c r="BH45" s="71" t="str">
        <f>注音編碼對照表!C44</f>
        <v>p</v>
      </c>
      <c r="BI45" s="334" t="str" cm="1">
        <f t="array" ref="BI45" xml:space="preserve"> INDEX( 注音編碼對照表[方音符號], MATCH(TRUE, EXACT(注音符號按鍵!$BH45, 注音編碼對照表[鍵盤按鍵]), 0))</f>
        <v>ㄣ</v>
      </c>
      <c r="BJ45" s="335" t="s">
        <v>76</v>
      </c>
      <c r="BK45" s="332" t="str" cm="1">
        <f t="array" ref="BK45" xml:space="preserve"> INDEX( 注音編碼對照表[國際音標], MATCH(TRUE, EXACT(注音符號按鍵!$BH45, 注音編碼對照表[鍵盤按鍵]), 0))</f>
        <v>n</v>
      </c>
      <c r="BL45" s="333" t="str" cm="1">
        <f t="array" ref="BL45" xml:space="preserve"> INDEX( 注音編碼對照表[台語音標], MATCH(TRUE, EXACT(注音符號按鍵!$BH45, 注音編碼對照表[鍵盤按鍵]), 0))</f>
        <v>-n</v>
      </c>
      <c r="BM45" s="95"/>
      <c r="BO45" s="137" t="str">
        <f t="shared" si="5"/>
        <v>"p": { commit: "ㄣ" }</v>
      </c>
      <c r="BQ45" s="113">
        <f t="shared" si="6"/>
        <v>41</v>
      </c>
      <c r="BR45" s="138" t="str">
        <f t="shared" si="7"/>
        <v>- xform/n/p/</v>
      </c>
      <c r="BT45" s="138" t="str">
        <f t="shared" si="8"/>
        <v>- xform/p/ㄣ/</v>
      </c>
    </row>
    <row r="46" spans="1:86" ht="45" customHeight="1">
      <c r="B46" s="178" t="s">
        <v>15</v>
      </c>
      <c r="C46" s="179"/>
      <c r="D46" s="179">
        <f ca="1">LEN(E46)</f>
        <v>52</v>
      </c>
      <c r="E46" s="178" t="str">
        <f ca="1" xml:space="preserve"> _xlfn.CONCAT(D19:BF19)</f>
        <v>ㄅㄆㆠㄇㄉㄊㄋㄌㄗㄘㆡㄙㄐㄑㆢㄒㄍㄎㆣㄫㄏㄚㆩㄧㆪㄨㆫㆤㆥㄜㆦㆧㄞㆮㄠㆯㆨㆰㆱㆬㄢㄣㄤㆲㆭㄬˉˊˋ˪˫˙</v>
      </c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BG46" s="136">
        <f t="shared" si="0"/>
        <v>43</v>
      </c>
      <c r="BH46" s="71" t="str">
        <f>注音編碼對照表!C45</f>
        <v>;</v>
      </c>
      <c r="BI46" s="334" t="str" cm="1">
        <f t="array" ref="BI46" xml:space="preserve"> INDEX( 注音編碼對照表[方音符號], MATCH(TRUE, EXACT(注音符號按鍵!$BH46, 注音編碼對照表[鍵盤按鍵]), 0))</f>
        <v>ㄤ</v>
      </c>
      <c r="BJ46" s="335" t="s">
        <v>95</v>
      </c>
      <c r="BK46" s="332" t="str" cm="1">
        <f t="array" ref="BK46" xml:space="preserve"> INDEX( 注音編碼對照表[國際音標], MATCH(TRUE, EXACT(注音符號按鍵!$BH46, 注音編碼對照表[鍵盤按鍵]), 0))</f>
        <v>ɑŋ</v>
      </c>
      <c r="BL46" s="333" t="str" cm="1">
        <f t="array" ref="BL46" xml:space="preserve"> INDEX( 注音編碼對照表[台語音標], MATCH(TRUE, EXACT(注音符號按鍵!$BH46, 注音編碼對照表[鍵盤按鍵]), 0))</f>
        <v>ang</v>
      </c>
      <c r="BM46" s="95"/>
      <c r="BO46" s="137" t="str">
        <f t="shared" si="5"/>
        <v>";": { commit: "ㄤ" }</v>
      </c>
      <c r="BQ46" s="113">
        <f t="shared" si="6"/>
        <v>42</v>
      </c>
      <c r="BR46" s="138" t="str">
        <f t="shared" si="7"/>
        <v>- xform/ɑŋ/;/</v>
      </c>
      <c r="BT46" s="138" t="str">
        <f t="shared" si="8"/>
        <v>- xform/;/ㄤ/</v>
      </c>
    </row>
    <row r="47" spans="1:86" ht="45" customHeight="1">
      <c r="B47" s="170" t="str">
        <f ca="1" xml:space="preserve"> "- xlit|" &amp; E45 &amp; "|" &amp; E46 &amp; "|"</f>
        <v>- xlit|ppʰbmttʰnltsʦʰʣsʨʨʰʥɕkkʰgŋhaãiĩuũeẽəɔɔ̃aiãĩɑuãũɨamɔmm̩annɑŋɔŋŋ̍ɲ000000|ㄅㄆㆠㄇㄉㄊㄋㄌㄗㄘㆡㄙㄐㄑㆢㄒㄍㄎㆣㄫㄏㄚㆩㄧㆪㄨㆫㆤㆥㄜㆦㆧㄞㆮㄠㆯㆨㆰㆱㆬㄢㄣㄤㆲㆭㄬˉˊˋ˪˫˙|</v>
      </c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  <c r="AE47" s="181"/>
      <c r="AF47" s="181"/>
      <c r="AG47" s="171"/>
      <c r="AH47" s="171"/>
      <c r="AI47" s="171"/>
      <c r="AJ47" s="171"/>
      <c r="BG47" s="136">
        <f t="shared" si="0"/>
        <v>44</v>
      </c>
      <c r="BH47" s="71" t="str">
        <f>注音編碼對照表!C46</f>
        <v>o</v>
      </c>
      <c r="BI47" s="334" t="str" cm="1">
        <f t="array" ref="BI47" xml:space="preserve"> INDEX( 注音編碼對照表[方音符號], MATCH(TRUE, EXACT(注音符號按鍵!$BH47, 注音編碼對照表[鍵盤按鍵]), 0))</f>
        <v>ㆲ</v>
      </c>
      <c r="BJ47" s="335" t="s">
        <v>101</v>
      </c>
      <c r="BK47" s="332" t="str" cm="1">
        <f t="array" ref="BK47" xml:space="preserve"> INDEX( 注音編碼對照表[國際音標], MATCH(TRUE, EXACT(注音符號按鍵!$BH47, 注音編碼對照表[鍵盤按鍵]), 0))</f>
        <v>ɔŋ</v>
      </c>
      <c r="BL47" s="333" t="str" cm="1">
        <f t="array" ref="BL47" xml:space="preserve"> INDEX( 注音編碼對照表[台語音標], MATCH(TRUE, EXACT(注音符號按鍵!$BH47, 注音編碼對照表[鍵盤按鍵]), 0))</f>
        <v>ong</v>
      </c>
      <c r="BM47" s="95"/>
      <c r="BO47" s="137" t="str">
        <f t="shared" si="5"/>
        <v>"o": { commit: "ㆲ" }</v>
      </c>
      <c r="BQ47" s="113">
        <f t="shared" si="6"/>
        <v>43</v>
      </c>
      <c r="BR47" s="138" t="str">
        <f t="shared" si="7"/>
        <v>- xform/ɔŋ/o/</v>
      </c>
      <c r="BT47" s="138" t="str">
        <f t="shared" si="8"/>
        <v>- xform/o/ㆲ/</v>
      </c>
    </row>
    <row r="48" spans="1:86" ht="45" customHeight="1">
      <c r="B48" s="183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BG48" s="136">
        <f t="shared" si="0"/>
        <v>45</v>
      </c>
      <c r="BH48" s="71" t="str">
        <f>注音編碼對照表!C47</f>
        <v>/</v>
      </c>
      <c r="BI48" s="334" t="str" cm="1">
        <f t="array" ref="BI48" xml:space="preserve"> INDEX( 注音編碼對照表[方音符號], MATCH(TRUE, EXACT(注音符號按鍵!$BH48, 注音編碼對照表[鍵盤按鍵]), 0))</f>
        <v>ㆭ</v>
      </c>
      <c r="BJ48" s="335" t="s">
        <v>74</v>
      </c>
      <c r="BK48" s="332" t="str" cm="1">
        <f t="array" ref="BK48" xml:space="preserve"> INDEX( 注音編碼對照表[國際音標], MATCH(TRUE, EXACT(注音符號按鍵!$BH48, 注音編碼對照表[鍵盤按鍵]), 0))</f>
        <v>ŋ̍</v>
      </c>
      <c r="BL48" s="333" t="str" cm="1">
        <f t="array" ref="BL48" xml:space="preserve"> INDEX( 注音編碼對照表[台語音標], MATCH(TRUE, EXACT(注音符號按鍵!$BH48, 注音編碼對照表[鍵盤按鍵]), 0))</f>
        <v>-ng</v>
      </c>
      <c r="BM48" s="95"/>
      <c r="BO48" s="137" t="str">
        <f t="shared" si="5"/>
        <v>"/": { commit: "ㆭ" }</v>
      </c>
      <c r="BQ48" s="113">
        <f t="shared" si="6"/>
        <v>44</v>
      </c>
      <c r="BR48" s="138" t="str">
        <f t="shared" si="7"/>
        <v>- xform/ŋ̍///</v>
      </c>
      <c r="BT48" s="138" t="str">
        <f t="shared" si="8"/>
        <v>- xform///ㆭ/</v>
      </c>
    </row>
    <row r="49" spans="2:72" ht="45" customHeight="1">
      <c r="B49" s="183"/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BG49" s="136">
        <f t="shared" si="0"/>
        <v>46</v>
      </c>
      <c r="BH49" s="71" t="str">
        <f>注音編碼對照表!C48</f>
        <v>.</v>
      </c>
      <c r="BI49" s="334" t="str" cm="1">
        <f t="array" ref="BI49" xml:space="preserve"> INDEX( 注音編碼對照表[方音符號], MATCH(TRUE, EXACT(注音符號按鍵!$BH49, 注音編碼對照表[鍵盤按鍵]), 0))</f>
        <v>ㄬ</v>
      </c>
      <c r="BJ49" s="335" t="s">
        <v>1526</v>
      </c>
      <c r="BK49" s="332" t="str" cm="1">
        <f t="array" ref="BK49" xml:space="preserve"> INDEX( 注音編碼對照表[國際音標], MATCH(TRUE, EXACT(注音符號按鍵!$BH49, 注音編碼對照表[鍵盤按鍵]), 0))</f>
        <v>ɲ</v>
      </c>
      <c r="BL49" s="333" t="str" cm="1">
        <f t="array" ref="BL49" xml:space="preserve"> INDEX( 注音編碼對照表[台語音標], MATCH(TRUE, EXACT(注音符號按鍵!$BH49, 注音編碼對照表[鍵盤按鍵]), 0))</f>
        <v>-nn</v>
      </c>
      <c r="BM49" s="95"/>
      <c r="BO49" s="137" t="str">
        <f t="shared" si="5"/>
        <v>".": { commit: "ㄬ" }</v>
      </c>
      <c r="BQ49" s="113">
        <f t="shared" si="6"/>
        <v>45</v>
      </c>
      <c r="BR49" s="114" t="str">
        <f t="shared" si="7"/>
        <v>- xform/ɲ/./</v>
      </c>
      <c r="BT49" s="114" t="str">
        <f t="shared" si="8"/>
        <v>- xform/./ㄬ/</v>
      </c>
    </row>
    <row r="50" spans="2:72" ht="45" customHeight="1">
      <c r="B50" s="183"/>
      <c r="C50" s="183"/>
      <c r="D50" s="183"/>
      <c r="BG50" s="136">
        <f t="shared" si="0"/>
        <v>47</v>
      </c>
      <c r="BH50" s="71" t="str">
        <f>注音編碼對照表!C49</f>
        <v xml:space="preserve"> </v>
      </c>
      <c r="BI50" s="334" t="str" cm="1">
        <f t="array" ref="BI50" xml:space="preserve"> INDEX( 注音編碼對照表[方音符號], MATCH(TRUE, EXACT(注音符號按鍵!$BH50, 注音編碼對照表[鍵盤按鍵]), 0))</f>
        <v>ˉ</v>
      </c>
      <c r="BJ50" s="335" t="s">
        <v>300</v>
      </c>
      <c r="BK50" s="332" cm="1">
        <f t="array" ref="BK50" xml:space="preserve"> INDEX( 注音編碼對照表[國際音標], MATCH(TRUE, EXACT(注音符號按鍵!$BH50, 注音編碼對照表[鍵盤按鍵]), 0))</f>
        <v>0</v>
      </c>
      <c r="BL50" s="333" cm="1">
        <f t="array" ref="BL50" xml:space="preserve"> INDEX( 注音編碼對照表[台語音標], MATCH(TRUE, EXACT(注音符號按鍵!$BH50, 注音編碼對照表[鍵盤按鍵]), 0))</f>
        <v>1</v>
      </c>
      <c r="BM50" s="97"/>
      <c r="BO50" s="137" t="str">
        <f t="shared" si="5"/>
        <v>" ": { commit: "ˉ" }</v>
      </c>
      <c r="BQ50" s="113">
        <f t="shared" si="6"/>
        <v>46</v>
      </c>
      <c r="BR50" s="114" t="str">
        <f t="shared" si="7"/>
        <v>- xform/0/ /</v>
      </c>
      <c r="BT50" s="114" t="str">
        <f t="shared" si="8"/>
        <v>- xform/ /ˉ/</v>
      </c>
    </row>
    <row r="51" spans="2:72" ht="45" customHeight="1"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36">
        <f t="shared" si="0"/>
        <v>48</v>
      </c>
      <c r="BH51" s="71" t="str">
        <f>注音編碼對照表!C50</f>
        <v>6</v>
      </c>
      <c r="BI51" s="334" t="str" cm="1">
        <f t="array" ref="BI51" xml:space="preserve"> INDEX( 注音編碼對照表[方音符號], MATCH(TRUE, EXACT(注音符號按鍵!$BH51, 注音編碼對照表[鍵盤按鍵]), 0))</f>
        <v>ˊ</v>
      </c>
      <c r="BJ51" s="335" t="s">
        <v>106</v>
      </c>
      <c r="BK51" s="332" cm="1">
        <f t="array" ref="BK51" xml:space="preserve"> INDEX( 注音編碼對照表[國際音標], MATCH(TRUE, EXACT(注音符號按鍵!$BH51, 注音編碼對照表[鍵盤按鍵]), 0))</f>
        <v>0</v>
      </c>
      <c r="BL51" s="333" cm="1">
        <f t="array" ref="BL51" xml:space="preserve"> INDEX( 注音編碼對照表[台語音標], MATCH(TRUE, EXACT(注音符號按鍵!$BH51, 注音編碼對照表[鍵盤按鍵]), 0))</f>
        <v>5</v>
      </c>
      <c r="BM51" s="97"/>
      <c r="BO51" s="137" t="str">
        <f t="shared" si="5"/>
        <v>"6": { commit: "ˊ" }</v>
      </c>
      <c r="BQ51" s="113">
        <f t="shared" si="6"/>
        <v>47</v>
      </c>
      <c r="BR51" s="114" t="str">
        <f t="shared" si="7"/>
        <v>- xform/0/6/</v>
      </c>
      <c r="BT51" s="114" t="str">
        <f t="shared" si="8"/>
        <v>- xform/6/ˊ/</v>
      </c>
    </row>
    <row r="52" spans="2:72" ht="45" customHeight="1"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36">
        <f t="shared" si="0"/>
        <v>49</v>
      </c>
      <c r="BH52" s="71" t="str">
        <f>注音編碼對照表!C51</f>
        <v>4</v>
      </c>
      <c r="BI52" s="334" t="str" cm="1">
        <f t="array" ref="BI52" xml:space="preserve"> INDEX( 注音編碼對照表[方音符號], MATCH(TRUE, EXACT(注音符號按鍵!$BH52, 注音編碼對照表[鍵盤按鍵]), 0))</f>
        <v>ˋ</v>
      </c>
      <c r="BJ52" s="335" t="s">
        <v>104</v>
      </c>
      <c r="BK52" s="332" cm="1">
        <f t="array" ref="BK52" xml:space="preserve"> INDEX( 注音編碼對照表[國際音標], MATCH(TRUE, EXACT(注音符號按鍵!$BH52, 注音編碼對照表[鍵盤按鍵]), 0))</f>
        <v>0</v>
      </c>
      <c r="BL52" s="333" cm="1">
        <f t="array" ref="BL52" xml:space="preserve"> INDEX( 注音編碼對照表[台語音標], MATCH(TRUE, EXACT(注音符號按鍵!$BH52, 注音編碼對照表[鍵盤按鍵]), 0))</f>
        <v>2</v>
      </c>
      <c r="BM52" s="97"/>
      <c r="BO52" s="137" t="str">
        <f t="shared" si="5"/>
        <v>"4": { commit: "ˋ" }</v>
      </c>
      <c r="BQ52" s="113">
        <f t="shared" si="6"/>
        <v>48</v>
      </c>
      <c r="BR52" s="114" t="str">
        <f t="shared" si="7"/>
        <v>- xform/0/4/</v>
      </c>
      <c r="BT52" s="114" t="str">
        <f t="shared" si="8"/>
        <v>- xform/4/ˋ/</v>
      </c>
    </row>
    <row r="53" spans="2:72" ht="45" customHeight="1"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36">
        <f t="shared" si="0"/>
        <v>50</v>
      </c>
      <c r="BH53" s="71" t="str">
        <f>注音編碼對照表!C52</f>
        <v>3</v>
      </c>
      <c r="BI53" s="334" t="str" cm="1">
        <f t="array" ref="BI53" xml:space="preserve"> INDEX( 注音編碼對照表[方音符號], MATCH(TRUE, EXACT(注音符號按鍵!$BH53, 注音編碼對照表[鍵盤按鍵]), 0))</f>
        <v>˪</v>
      </c>
      <c r="BJ53" s="335" t="s">
        <v>105</v>
      </c>
      <c r="BK53" s="332" cm="1">
        <f t="array" ref="BK53" xml:space="preserve"> INDEX( 注音編碼對照表[國際音標], MATCH(TRUE, EXACT(注音符號按鍵!$BH53, 注音編碼對照表[鍵盤按鍵]), 0))</f>
        <v>0</v>
      </c>
      <c r="BL53" s="333" cm="1">
        <f t="array" ref="BL53" xml:space="preserve"> INDEX( 注音編碼對照表[台語音標], MATCH(TRUE, EXACT(注音符號按鍵!$BH53, 注音編碼對照表[鍵盤按鍵]), 0))</f>
        <v>3</v>
      </c>
      <c r="BM53" s="97"/>
      <c r="BO53" s="137" t="str">
        <f t="shared" si="5"/>
        <v>"3": { commit: "˪" }</v>
      </c>
      <c r="BQ53" s="113">
        <f t="shared" si="6"/>
        <v>49</v>
      </c>
      <c r="BR53" s="114" t="str">
        <f t="shared" si="7"/>
        <v>- xform/0/3/</v>
      </c>
      <c r="BT53" s="114" t="str">
        <f t="shared" si="8"/>
        <v>- xform/3/˪/</v>
      </c>
    </row>
    <row r="54" spans="2:72" ht="45" customHeight="1"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36">
        <f t="shared" si="0"/>
        <v>51</v>
      </c>
      <c r="BH54" s="71" t="str">
        <f>注音編碼對照表!C53</f>
        <v>5</v>
      </c>
      <c r="BI54" s="334" t="str" cm="1">
        <f t="array" ref="BI54" xml:space="preserve"> INDEX( 注音編碼對照表[方音符號], MATCH(TRUE, EXACT(注音符號按鍵!$BH54, 注音編碼對照表[鍵盤按鍵]), 0))</f>
        <v>˫</v>
      </c>
      <c r="BJ54" s="335" t="s">
        <v>107</v>
      </c>
      <c r="BK54" s="332" cm="1">
        <f t="array" ref="BK54" xml:space="preserve"> INDEX( 注音編碼對照表[國際音標], MATCH(TRUE, EXACT(注音符號按鍵!$BH54, 注音編碼對照表[鍵盤按鍵]), 0))</f>
        <v>0</v>
      </c>
      <c r="BL54" s="333" cm="1">
        <f t="array" ref="BL54" xml:space="preserve"> INDEX( 注音編碼對照表[台語音標], MATCH(TRUE, EXACT(注音符號按鍵!$BH54, 注音編碼對照表[鍵盤按鍵]), 0))</f>
        <v>7</v>
      </c>
      <c r="BM54" s="97"/>
      <c r="BO54" s="137" t="str">
        <f t="shared" si="5"/>
        <v>"5": { commit: "˫" }</v>
      </c>
      <c r="BQ54" s="113">
        <f t="shared" si="6"/>
        <v>50</v>
      </c>
      <c r="BR54" s="114" t="str">
        <f t="shared" si="7"/>
        <v>- xform/0/5/</v>
      </c>
      <c r="BT54" s="114" t="str">
        <f t="shared" si="8"/>
        <v>- xform/5/˫/</v>
      </c>
    </row>
    <row r="55" spans="2:72" ht="45" customHeight="1"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36">
        <f t="shared" si="0"/>
        <v>52</v>
      </c>
      <c r="BH55" s="71" t="str">
        <f>注音編碼對照表!C54</f>
        <v>7</v>
      </c>
      <c r="BI55" s="334" t="str" cm="1">
        <f t="array" ref="BI55" xml:space="preserve"> INDEX( 注音編碼對照表[方音符號], MATCH(TRUE, EXACT(注音符號按鍵!$BH55, 注音編碼對照表[鍵盤按鍵]), 0))</f>
        <v>˙</v>
      </c>
      <c r="BJ55" s="335" t="s">
        <v>108</v>
      </c>
      <c r="BK55" s="332" cm="1">
        <f t="array" ref="BK55" xml:space="preserve"> INDEX( 注音編碼對照表[國際音標], MATCH(TRUE, EXACT(注音符號按鍵!$BH55, 注音編碼對照表[鍵盤按鍵]), 0))</f>
        <v>0</v>
      </c>
      <c r="BL55" s="333" t="str" cm="1">
        <f t="array" ref="BL55" xml:space="preserve"> INDEX( 注音編碼對照表[台語音標], MATCH(TRUE, EXACT(注音符號按鍵!$BH55, 注音編碼對照表[鍵盤按鍵]), 0))</f>
        <v>[48]</v>
      </c>
      <c r="BM55" s="97"/>
      <c r="BO55" s="137" t="str">
        <f t="shared" si="5"/>
        <v>"7": { commit: "˙" }</v>
      </c>
      <c r="BQ55" s="113">
        <f t="shared" si="6"/>
        <v>51</v>
      </c>
      <c r="BR55" s="114" t="str">
        <f t="shared" si="7"/>
        <v>- xform/0/7/</v>
      </c>
      <c r="BT55" s="114" t="str">
        <f t="shared" si="8"/>
        <v>- xform/7/˙/</v>
      </c>
    </row>
    <row r="56" spans="2:72" ht="45" customHeight="1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Q56" s="113">
        <f t="shared" si="6"/>
        <v>52</v>
      </c>
    </row>
    <row r="57" spans="2:72" ht="45" customHeight="1"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Q57" s="113">
        <f t="shared" si="6"/>
        <v>0</v>
      </c>
    </row>
    <row r="58" spans="2:72" ht="45" customHeight="1"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Q58" s="113">
        <f t="shared" si="6"/>
        <v>0</v>
      </c>
    </row>
    <row r="59" spans="2:72" ht="45" customHeight="1"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Q59" s="113">
        <f t="shared" si="6"/>
        <v>0</v>
      </c>
    </row>
    <row r="60" spans="2:72" ht="45" customHeight="1"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Q60" s="113">
        <f t="shared" si="6"/>
        <v>0</v>
      </c>
    </row>
    <row r="61" spans="2:72" ht="45" customHeight="1">
      <c r="B61" s="183"/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Q61" s="113">
        <f t="shared" si="6"/>
        <v>0</v>
      </c>
    </row>
    <row r="62" spans="2:72" ht="45" customHeight="1"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Q62" s="113">
        <f t="shared" si="6"/>
        <v>0</v>
      </c>
    </row>
    <row r="63" spans="2:72" ht="38.1" customHeight="1">
      <c r="B63" s="183"/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Q63" s="113">
        <f t="shared" si="6"/>
        <v>0</v>
      </c>
    </row>
    <row r="64" spans="2:72" ht="38.1" customHeight="1">
      <c r="B64" s="183"/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</row>
    <row r="65" spans="2:58"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</row>
    <row r="66" spans="2:58">
      <c r="AH66" s="183"/>
      <c r="AI66" s="183"/>
      <c r="AJ66" s="183"/>
    </row>
    <row r="67" spans="2:58">
      <c r="AH67" s="183"/>
      <c r="AI67" s="183"/>
      <c r="AJ67" s="183"/>
    </row>
    <row r="68" spans="2:58">
      <c r="AH68" s="183"/>
      <c r="AI68" s="183"/>
      <c r="AJ68" s="183"/>
    </row>
    <row r="69" spans="2:58">
      <c r="AH69" s="183"/>
      <c r="AI69" s="183"/>
      <c r="AJ69" s="183"/>
    </row>
  </sheetData>
  <mergeCells count="51"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C5:E5"/>
    <mergeCell ref="F5:H5"/>
    <mergeCell ref="I5:K5"/>
    <mergeCell ref="L5:N5"/>
    <mergeCell ref="O5:Q5"/>
    <mergeCell ref="AD5:AF5"/>
    <mergeCell ref="AG5:AI5"/>
    <mergeCell ref="H4:I4"/>
    <mergeCell ref="K4:L4"/>
    <mergeCell ref="N4:O4"/>
    <mergeCell ref="Q4:R4"/>
    <mergeCell ref="T4:U4"/>
    <mergeCell ref="T11:V11"/>
    <mergeCell ref="W11:Y11"/>
    <mergeCell ref="AJ5:AL5"/>
    <mergeCell ref="AM5:AO5"/>
    <mergeCell ref="D8:F8"/>
    <mergeCell ref="G8:I8"/>
    <mergeCell ref="J8:L8"/>
    <mergeCell ref="M8:O8"/>
    <mergeCell ref="P8:R8"/>
    <mergeCell ref="S8:U8"/>
    <mergeCell ref="V8:X8"/>
    <mergeCell ref="Y8:AA8"/>
    <mergeCell ref="R5:T5"/>
    <mergeCell ref="U5:W5"/>
    <mergeCell ref="X5:Z5"/>
    <mergeCell ref="AA5:AC5"/>
    <mergeCell ref="E11:G11"/>
    <mergeCell ref="H11:J11"/>
    <mergeCell ref="K11:M11"/>
    <mergeCell ref="N11:P11"/>
    <mergeCell ref="Q11:S11"/>
    <mergeCell ref="Z11:AB11"/>
    <mergeCell ref="AC11:AE11"/>
    <mergeCell ref="AF11:AH11"/>
    <mergeCell ref="AB8:AD8"/>
    <mergeCell ref="AE8:AG8"/>
    <mergeCell ref="AH8:AJ8"/>
  </mergeCells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FFDB-DA3B-4DC3-9ABB-CC495E031F87}">
  <sheetPr>
    <tabColor rgb="FFFF0000"/>
  </sheetPr>
  <dimension ref="A1:AV98"/>
  <sheetViews>
    <sheetView workbookViewId="0">
      <selection activeCell="A9" sqref="A9"/>
    </sheetView>
  </sheetViews>
  <sheetFormatPr defaultRowHeight="30" outlineLevelCol="1"/>
  <cols>
    <col min="1" max="1" width="99.19921875" style="2" customWidth="1"/>
    <col min="2" max="2" width="4.59765625" style="2" bestFit="1" customWidth="1"/>
    <col min="3" max="5" width="10.5" style="2" customWidth="1"/>
    <col min="6" max="6" width="4.69921875" style="2" customWidth="1" outlineLevel="1"/>
    <col min="7" max="8" width="10.09765625" style="3" customWidth="1" outlineLevel="1"/>
    <col min="9" max="9" width="5.09765625" style="2" customWidth="1"/>
    <col min="10" max="10" width="4.69921875" style="2" customWidth="1"/>
    <col min="11" max="11" width="10.09765625" style="4" customWidth="1"/>
    <col min="12" max="12" width="10.09765625" style="3" customWidth="1"/>
    <col min="13" max="13" width="5.09765625" style="2" customWidth="1"/>
    <col min="14" max="14" width="4.69921875" style="2" customWidth="1"/>
    <col min="15" max="15" width="10.09765625" style="2" customWidth="1"/>
    <col min="16" max="16" width="10.09765625" style="5" customWidth="1"/>
    <col min="17" max="17" width="8.796875" style="2"/>
    <col min="18" max="18" width="4.69921875" style="2" customWidth="1"/>
    <col min="19" max="21" width="9.796875" style="2" customWidth="1"/>
    <col min="22" max="23" width="7.8984375" style="2" customWidth="1"/>
    <col min="24" max="24" width="6.19921875" style="2" customWidth="1"/>
    <col min="25" max="28" width="11.296875" style="2" customWidth="1"/>
    <col min="29" max="29" width="11.69921875" style="2" customWidth="1"/>
    <col min="30" max="30" width="3.8984375" style="2" customWidth="1"/>
    <col min="31" max="31" width="13" style="2" customWidth="1"/>
    <col min="32" max="32" width="5.5" style="2" customWidth="1"/>
    <col min="33" max="46" width="8.796875" style="2"/>
    <col min="47" max="47" width="8.796875" style="11"/>
    <col min="48" max="16384" width="8.796875" style="2"/>
  </cols>
  <sheetData>
    <row r="1" spans="1:48" ht="32.25">
      <c r="A1" s="1" t="s">
        <v>0</v>
      </c>
      <c r="F1" s="1" t="s">
        <v>1</v>
      </c>
      <c r="J1" s="1" t="s">
        <v>2</v>
      </c>
      <c r="N1" s="1" t="s">
        <v>3</v>
      </c>
      <c r="R1" s="6" t="s">
        <v>4</v>
      </c>
      <c r="X1" s="7" t="s">
        <v>5</v>
      </c>
      <c r="Y1" s="8"/>
      <c r="Z1" s="9"/>
      <c r="AA1" s="10"/>
      <c r="AB1" s="10"/>
      <c r="AC1" s="10"/>
    </row>
    <row r="2" spans="1:48" ht="25.5">
      <c r="A2" s="12" t="s">
        <v>6</v>
      </c>
      <c r="G2" s="13" t="s">
        <v>7</v>
      </c>
      <c r="H2" s="14" t="s">
        <v>8</v>
      </c>
      <c r="K2" s="13" t="s">
        <v>8</v>
      </c>
      <c r="L2" s="14" t="s">
        <v>9</v>
      </c>
      <c r="O2" s="13" t="s">
        <v>7</v>
      </c>
      <c r="P2" s="14" t="s">
        <v>10</v>
      </c>
      <c r="S2" s="15" t="s">
        <v>11</v>
      </c>
      <c r="T2" s="15" t="s">
        <v>12</v>
      </c>
      <c r="U2" s="15" t="s">
        <v>13</v>
      </c>
      <c r="X2" s="16" t="s">
        <v>14</v>
      </c>
      <c r="Y2" s="17" t="s">
        <v>15</v>
      </c>
      <c r="Z2" s="18" t="s">
        <v>16</v>
      </c>
      <c r="AA2" s="19" t="s">
        <v>17</v>
      </c>
      <c r="AB2" s="19" t="s">
        <v>18</v>
      </c>
      <c r="AC2" s="20" t="s">
        <v>19</v>
      </c>
    </row>
    <row r="3" spans="1:48" ht="32.25">
      <c r="A3" s="2">
        <f xml:space="preserve"> SEARCH("|",$A$2,1)</f>
        <v>7</v>
      </c>
      <c r="F3" s="2">
        <f xml:space="preserve"> ROW() - 2</f>
        <v>1</v>
      </c>
      <c r="G3" s="98" t="str">
        <f xml:space="preserve"> IFERROR( MID($A$6, $F3, 1), "")</f>
        <v>p</v>
      </c>
      <c r="H3" s="98" t="str">
        <f xml:space="preserve"> IFERROR( MID($A$7, $F3, 1), "")</f>
        <v>1</v>
      </c>
      <c r="J3" s="2">
        <v>1</v>
      </c>
      <c r="K3" s="21" t="str">
        <f xml:space="preserve"> IFERROR( MID($A$15, $F3, 1), "")</f>
        <v>1</v>
      </c>
      <c r="L3" s="21" t="str">
        <f xml:space="preserve"> IFERROR( MID($A$16, $F3, 1), "")</f>
        <v>ㄅ</v>
      </c>
      <c r="N3" s="2">
        <v>1</v>
      </c>
      <c r="O3" s="22" t="str">
        <f xml:space="preserve"> IFERROR( MID($A$25, $N3, 1), "")</f>
        <v>p</v>
      </c>
      <c r="P3" s="22" t="str">
        <f xml:space="preserve"> IFERROR( MID($A$26, $N3, 1), "")</f>
        <v>ㄅ</v>
      </c>
      <c r="R3" s="2">
        <v>1</v>
      </c>
      <c r="S3" s="5" t="str">
        <f>H3</f>
        <v>1</v>
      </c>
      <c r="T3" s="23" t="str">
        <f>G3</f>
        <v>p</v>
      </c>
      <c r="U3" s="24" t="str">
        <f xml:space="preserve"> IFERROR( INDEX($L$3:$L$44, MATCH(表格1_334[[#This Row],[鍵盤按鍵]], $K$3:$K$44,0)), "")</f>
        <v>ㄅ</v>
      </c>
      <c r="X3" s="25">
        <f>ROW() - 2</f>
        <v>1</v>
      </c>
      <c r="Y3" s="26" t="s">
        <v>20</v>
      </c>
      <c r="Z3" s="27" t="s">
        <v>21</v>
      </c>
      <c r="AA3" s="28" t="str">
        <f xml:space="preserve"> IFERROR( INDEX(表格1_334[字典編碼], MATCH($Y3, 表格1_334[方音符號], 0)), "")</f>
        <v>p</v>
      </c>
      <c r="AB3" s="28" t="str">
        <f t="shared" ref="AB3:AB20" si="0">AA3</f>
        <v>p</v>
      </c>
      <c r="AC3" s="29" t="str">
        <f xml:space="preserve"> IFERROR( INDEX(表格1_334[鍵盤按鍵], MATCH($Y3, 表格1_334[方音符號], 0)), "")</f>
        <v>1</v>
      </c>
      <c r="AE3" s="30" t="s">
        <v>22</v>
      </c>
      <c r="AG3" s="99" t="str">
        <f xml:space="preserve"> "- xlit|" &amp; AG4 &amp; "|" &amp; AG5 &amp; "|"</f>
        <v>- xlit|pPbtTnkKgcCzshiuaeoOIUGDBNmdqjJSQLMY123570|1qz2wsedtyhbncuj8oki9l/pm-axgrfv;0,. 43657|</v>
      </c>
      <c r="AH3" s="47"/>
      <c r="AI3" s="47"/>
      <c r="AJ3" s="47"/>
      <c r="AK3" s="47"/>
      <c r="AL3" s="47"/>
      <c r="AM3" s="47"/>
      <c r="AN3" s="47"/>
      <c r="AO3" s="47"/>
      <c r="AP3" s="47"/>
    </row>
    <row r="4" spans="1:48" ht="32.25">
      <c r="A4" s="2">
        <f xml:space="preserve"> SEARCH("|",$A$2,A3+1)</f>
        <v>50</v>
      </c>
      <c r="F4" s="2">
        <f t="shared" ref="F4:F44" si="1" xml:space="preserve"> ROW() - 2</f>
        <v>2</v>
      </c>
      <c r="G4" s="98" t="str">
        <f t="shared" ref="G4:G44" si="2" xml:space="preserve"> IFERROR( MID($A$6, $F4, 1), "")</f>
        <v>P</v>
      </c>
      <c r="H4" s="98" t="str">
        <f t="shared" ref="H4:H44" si="3" xml:space="preserve"> IFERROR( MID($A$7, $F4, 1), "")</f>
        <v>q</v>
      </c>
      <c r="J4" s="2">
        <v>2</v>
      </c>
      <c r="K4" s="21" t="str">
        <f t="shared" ref="K4:K44" si="4" xml:space="preserve"> IFERROR( MID($A$15, $F4, 1), "")</f>
        <v>q</v>
      </c>
      <c r="L4" s="21" t="str">
        <f t="shared" ref="L4:L44" si="5" xml:space="preserve"> IFERROR( MID($A$16, $F4, 1), "")</f>
        <v>ㄆ</v>
      </c>
      <c r="N4" s="2">
        <v>2</v>
      </c>
      <c r="O4" s="22" t="str">
        <f t="shared" ref="O4:O44" si="6" xml:space="preserve"> IFERROR( MID($A$25, $N4, 1), "")</f>
        <v>P</v>
      </c>
      <c r="P4" s="22" t="str">
        <f t="shared" ref="P4:P44" si="7" xml:space="preserve"> IFERROR( MID($A$26, $N4, 1), "")</f>
        <v>ㄆ</v>
      </c>
      <c r="R4" s="2">
        <v>2</v>
      </c>
      <c r="S4" s="5" t="str">
        <f t="shared" ref="S4:S44" si="8">H4</f>
        <v>q</v>
      </c>
      <c r="T4" s="23" t="str">
        <f t="shared" ref="T4:T44" si="9">G4</f>
        <v>P</v>
      </c>
      <c r="U4" s="24" t="str">
        <f xml:space="preserve"> IFERROR( INDEX($L$3:$L$44, MATCH(表格1_334[[#This Row],[鍵盤按鍵]], $K$3:$K$44,0)), "")</f>
        <v>ㄆ</v>
      </c>
      <c r="X4" s="31">
        <f t="shared" ref="X4:X58" si="10">ROW() - 2</f>
        <v>2</v>
      </c>
      <c r="Y4" s="32" t="s">
        <v>23</v>
      </c>
      <c r="Z4" s="33" t="s">
        <v>24</v>
      </c>
      <c r="AA4" s="34" t="str">
        <f xml:space="preserve"> IFERROR( INDEX(表格1_334[字典編碼], MATCH($Y4, 表格1_334[方音符號], 0)), "")</f>
        <v>P</v>
      </c>
      <c r="AB4" s="34" t="str">
        <f t="shared" si="0"/>
        <v>P</v>
      </c>
      <c r="AC4" s="35" t="str">
        <f xml:space="preserve"> IFERROR( INDEX(表格1_334[鍵盤按鍵], MATCH($Y4, 表格1_334[方音符號], 0)), "")</f>
        <v>q</v>
      </c>
      <c r="AE4" s="36" t="s">
        <v>12</v>
      </c>
      <c r="AF4" s="1">
        <f xml:space="preserve"> LEN(AG4)</f>
        <v>42</v>
      </c>
      <c r="AG4" s="37" t="str">
        <f xml:space="preserve"> _xlfn.CONCAT(AB$3:AB$44)</f>
        <v>pPbtTnkKgcCzshiuaeoOIUGDBNmdqjJSQLMY123570</v>
      </c>
      <c r="AT4" s="38" t="s">
        <v>25</v>
      </c>
      <c r="AU4" s="39" t="s">
        <v>252</v>
      </c>
      <c r="AV4" s="40">
        <f xml:space="preserve"> FIND(AU4, AG4)</f>
        <v>41</v>
      </c>
    </row>
    <row r="5" spans="1:48" ht="32.25">
      <c r="A5" s="2">
        <f xml:space="preserve"> SEARCH("|",$A$2,A4+1)</f>
        <v>93</v>
      </c>
      <c r="F5" s="2">
        <f t="shared" si="1"/>
        <v>3</v>
      </c>
      <c r="G5" s="98" t="str">
        <f t="shared" si="2"/>
        <v>m</v>
      </c>
      <c r="H5" s="98" t="str">
        <f t="shared" si="3"/>
        <v>a</v>
      </c>
      <c r="J5" s="2">
        <v>3</v>
      </c>
      <c r="K5" s="21" t="str">
        <f t="shared" si="4"/>
        <v>a</v>
      </c>
      <c r="L5" s="21" t="str">
        <f t="shared" si="5"/>
        <v>ㄇ</v>
      </c>
      <c r="N5" s="2">
        <v>3</v>
      </c>
      <c r="O5" s="22" t="str">
        <f t="shared" si="6"/>
        <v>b</v>
      </c>
      <c r="P5" s="22" t="str">
        <f t="shared" si="7"/>
        <v>ㆠ</v>
      </c>
      <c r="R5" s="2">
        <v>3</v>
      </c>
      <c r="S5" s="5" t="str">
        <f t="shared" si="8"/>
        <v>a</v>
      </c>
      <c r="T5" s="23" t="str">
        <f t="shared" si="9"/>
        <v>m</v>
      </c>
      <c r="U5" s="24" t="str">
        <f xml:space="preserve"> IFERROR( INDEX($L$3:$L$44, MATCH(表格1_334[[#This Row],[鍵盤按鍵]], $K$3:$K$44,0)), "")</f>
        <v>ㄇ</v>
      </c>
      <c r="X5" s="41">
        <f t="shared" si="10"/>
        <v>3</v>
      </c>
      <c r="Y5" s="42" t="s">
        <v>27</v>
      </c>
      <c r="Z5" s="43" t="s">
        <v>28</v>
      </c>
      <c r="AA5" s="44" t="str">
        <f xml:space="preserve"> IFERROR( INDEX(表格1_334[字典編碼], MATCH($Y5, 表格1_334[方音符號], 0)), "")</f>
        <v>b</v>
      </c>
      <c r="AB5" s="44" t="str">
        <f t="shared" si="0"/>
        <v>b</v>
      </c>
      <c r="AC5" s="45" t="str">
        <f xml:space="preserve"> IFERROR( INDEX(表格1_334[鍵盤按鍵], MATCH($Y5, 表格1_334[方音符號], 0)), "")</f>
        <v>z</v>
      </c>
      <c r="AE5" s="46" t="s">
        <v>11</v>
      </c>
      <c r="AF5" s="1">
        <f xml:space="preserve"> LEN(AG5)</f>
        <v>42</v>
      </c>
      <c r="AG5" s="37" t="str">
        <f>_xlfn.CONCAT(AC3:AC44)</f>
        <v>1qz2wsedtyhbncuj8oki9l/pm-axgrfv;0,. 43657</v>
      </c>
      <c r="AP5" s="48" t="str">
        <f xml:space="preserve"> MID("/", AF4, 1)</f>
        <v/>
      </c>
      <c r="AU5" s="49" t="str">
        <f xml:space="preserve"> MID(AG5, AV4, 1)</f>
        <v>5</v>
      </c>
      <c r="AV5" s="40"/>
    </row>
    <row r="6" spans="1:48" ht="32.25">
      <c r="A6" s="50" t="str">
        <f xml:space="preserve"> MID($A$2,A3+1, A4-A3-1)</f>
        <v>pPmbtTndkKhjJSgqzcCsiuBaoøMIeUYLDQGN123570</v>
      </c>
      <c r="B6" s="51">
        <f xml:space="preserve"> LEN(A6)</f>
        <v>42</v>
      </c>
      <c r="F6" s="2">
        <f t="shared" si="1"/>
        <v>4</v>
      </c>
      <c r="G6" s="98" t="str">
        <f t="shared" si="2"/>
        <v>b</v>
      </c>
      <c r="H6" s="98" t="str">
        <f t="shared" si="3"/>
        <v>z</v>
      </c>
      <c r="J6" s="2">
        <v>4</v>
      </c>
      <c r="K6" s="21" t="str">
        <f t="shared" si="4"/>
        <v>z</v>
      </c>
      <c r="L6" s="21" t="str">
        <f t="shared" si="5"/>
        <v>ㆠ</v>
      </c>
      <c r="N6" s="2">
        <v>4</v>
      </c>
      <c r="O6" s="22" t="str">
        <f t="shared" si="6"/>
        <v>t</v>
      </c>
      <c r="P6" s="22" t="str">
        <f t="shared" si="7"/>
        <v>ㄉ</v>
      </c>
      <c r="R6" s="2">
        <v>4</v>
      </c>
      <c r="S6" s="5" t="str">
        <f t="shared" si="8"/>
        <v>z</v>
      </c>
      <c r="T6" s="23" t="str">
        <f t="shared" si="9"/>
        <v>b</v>
      </c>
      <c r="U6" s="24" t="str">
        <f xml:space="preserve"> IFERROR( INDEX($L$3:$L$44, MATCH(表格1_334[[#This Row],[鍵盤按鍵]], $K$3:$K$44,0)), "")</f>
        <v>ㆠ</v>
      </c>
      <c r="X6" s="25">
        <f t="shared" si="10"/>
        <v>4</v>
      </c>
      <c r="Y6" s="26" t="s">
        <v>29</v>
      </c>
      <c r="Z6" s="27" t="s">
        <v>30</v>
      </c>
      <c r="AA6" s="28" t="str">
        <f xml:space="preserve"> IFERROR( INDEX(表格1_334[字典編碼], MATCH($Y6, 表格1_334[方音符號], 0)), "")</f>
        <v>t</v>
      </c>
      <c r="AB6" s="28" t="str">
        <f t="shared" si="0"/>
        <v>t</v>
      </c>
      <c r="AC6" s="29" t="str">
        <f xml:space="preserve"> IFERROR( INDEX(表格1_334[鍵盤按鍵], MATCH($Y6, 表格1_334[方音符號], 0)), "")</f>
        <v>2</v>
      </c>
      <c r="AE6" s="37"/>
      <c r="AF6" s="37"/>
      <c r="AG6" s="37"/>
      <c r="AP6" s="48"/>
    </row>
    <row r="7" spans="1:48" ht="32.25">
      <c r="A7" s="50" t="str">
        <f xml:space="preserve"> MID($A$2,A4+1, A5-A4-1)</f>
        <v>1qaz2wsxedcrfvtgbyhnujm8ik,9ol.0p;/- 43657</v>
      </c>
      <c r="B7" s="51">
        <f xml:space="preserve"> LEN(A7)</f>
        <v>42</v>
      </c>
      <c r="F7" s="2">
        <f t="shared" si="1"/>
        <v>5</v>
      </c>
      <c r="G7" s="98" t="str">
        <f t="shared" si="2"/>
        <v>t</v>
      </c>
      <c r="H7" s="98" t="str">
        <f t="shared" si="3"/>
        <v>2</v>
      </c>
      <c r="J7" s="2">
        <v>5</v>
      </c>
      <c r="K7" s="21" t="str">
        <f t="shared" si="4"/>
        <v>2</v>
      </c>
      <c r="L7" s="21" t="str">
        <f t="shared" si="5"/>
        <v>ㄉ</v>
      </c>
      <c r="N7" s="2">
        <v>5</v>
      </c>
      <c r="O7" s="22" t="str">
        <f t="shared" si="6"/>
        <v>T</v>
      </c>
      <c r="P7" s="22" t="str">
        <f t="shared" si="7"/>
        <v>ㄊ</v>
      </c>
      <c r="R7" s="2">
        <v>5</v>
      </c>
      <c r="S7" s="5" t="str">
        <f t="shared" si="8"/>
        <v>2</v>
      </c>
      <c r="T7" s="23" t="str">
        <f t="shared" si="9"/>
        <v>t</v>
      </c>
      <c r="U7" s="24" t="str">
        <f xml:space="preserve"> IFERROR( INDEX($L$3:$L$44, MATCH(表格1_334[[#This Row],[鍵盤按鍵]], $K$3:$K$44,0)), "")</f>
        <v>ㄉ</v>
      </c>
      <c r="X7" s="31">
        <f t="shared" si="10"/>
        <v>5</v>
      </c>
      <c r="Y7" s="32" t="s">
        <v>31</v>
      </c>
      <c r="Z7" s="33" t="s">
        <v>32</v>
      </c>
      <c r="AA7" s="34" t="str">
        <f xml:space="preserve"> IFERROR( INDEX(表格1_334[字典編碼], MATCH($Y7, 表格1_334[方音符號], 0)), "")</f>
        <v>T</v>
      </c>
      <c r="AB7" s="34" t="str">
        <f t="shared" si="0"/>
        <v>T</v>
      </c>
      <c r="AC7" s="35" t="str">
        <f xml:space="preserve"> IFERROR( INDEX(表格1_334[鍵盤按鍵], MATCH($Y7, 表格1_334[方音符號], 0)), "")</f>
        <v>w</v>
      </c>
      <c r="AG7" s="48"/>
    </row>
    <row r="8" spans="1:48" ht="32.25">
      <c r="F8" s="2">
        <f t="shared" si="1"/>
        <v>6</v>
      </c>
      <c r="G8" s="98" t="str">
        <f t="shared" si="2"/>
        <v>T</v>
      </c>
      <c r="H8" s="98" t="str">
        <f t="shared" si="3"/>
        <v>w</v>
      </c>
      <c r="J8" s="2">
        <v>6</v>
      </c>
      <c r="K8" s="21" t="str">
        <f t="shared" si="4"/>
        <v>w</v>
      </c>
      <c r="L8" s="21" t="str">
        <f t="shared" si="5"/>
        <v>ㄊ</v>
      </c>
      <c r="N8" s="2">
        <v>6</v>
      </c>
      <c r="O8" s="22" t="str">
        <f t="shared" si="6"/>
        <v>d</v>
      </c>
      <c r="P8" s="22" t="str">
        <f t="shared" si="7"/>
        <v>ㄌ</v>
      </c>
      <c r="R8" s="2">
        <v>6</v>
      </c>
      <c r="S8" s="5" t="str">
        <f t="shared" si="8"/>
        <v>w</v>
      </c>
      <c r="T8" s="23" t="str">
        <f t="shared" si="9"/>
        <v>T</v>
      </c>
      <c r="U8" s="24" t="str">
        <f xml:space="preserve"> IFERROR( INDEX($L$3:$L$44, MATCH(表格1_334[[#This Row],[鍵盤按鍵]], $K$3:$K$44,0)), "")</f>
        <v>ㄊ</v>
      </c>
      <c r="X8" s="41">
        <f t="shared" si="10"/>
        <v>6</v>
      </c>
      <c r="Y8" s="42" t="s">
        <v>33</v>
      </c>
      <c r="Z8" s="43" t="s">
        <v>34</v>
      </c>
      <c r="AA8" s="44" t="str">
        <f xml:space="preserve"> IFERROR( INDEX(表格1_334[字典編碼], MATCH($Y8, 表格1_334[方音符號], 0)), "")</f>
        <v>n</v>
      </c>
      <c r="AB8" s="44" t="str">
        <f t="shared" si="0"/>
        <v>n</v>
      </c>
      <c r="AC8" s="45" t="str">
        <f xml:space="preserve"> IFERROR( INDEX(表格1_334[鍵盤按鍵], MATCH($Y8, 表格1_334[方音符號], 0)), "")</f>
        <v>s</v>
      </c>
      <c r="AE8" s="30" t="s">
        <v>35</v>
      </c>
      <c r="AG8" s="99" t="str">
        <f xml:space="preserve"> "- xlit|" &amp; AG9 &amp; "|" &amp; AG10 &amp; "|"</f>
        <v>- xlit|1qz2wsedtyhbncuj8oki9l/pm-axgrfv;0,.43657|ㄅㄆㆠㄉㄊㄋㄍㄎㆣㄗㄘㆡㄙㄏㄧㄨㄚㆤㄜㆦㄞㄠㆭㄣㆬ鼻ㄇㄌㄫㄐㄑㄒㄤㄢㆰㆲˋ˪ˊ˫˙|</v>
      </c>
      <c r="AH8" s="47"/>
      <c r="AI8" s="47"/>
      <c r="AJ8" s="47"/>
      <c r="AK8" s="47"/>
      <c r="AL8" s="47"/>
      <c r="AM8" s="47"/>
      <c r="AN8" s="47"/>
      <c r="AO8" s="47"/>
      <c r="AP8" s="47"/>
    </row>
    <row r="9" spans="1:48" ht="32.25">
      <c r="F9" s="2">
        <f t="shared" si="1"/>
        <v>7</v>
      </c>
      <c r="G9" s="98" t="str">
        <f t="shared" si="2"/>
        <v>n</v>
      </c>
      <c r="H9" s="98" t="str">
        <f t="shared" si="3"/>
        <v>s</v>
      </c>
      <c r="J9" s="2">
        <v>7</v>
      </c>
      <c r="K9" s="21" t="str">
        <f t="shared" si="4"/>
        <v>s</v>
      </c>
      <c r="L9" s="21" t="str">
        <f t="shared" si="5"/>
        <v>ㄋ</v>
      </c>
      <c r="N9" s="2">
        <v>7</v>
      </c>
      <c r="O9" s="22" t="str">
        <f t="shared" si="6"/>
        <v>k</v>
      </c>
      <c r="P9" s="22" t="str">
        <f t="shared" si="7"/>
        <v>ㄍ</v>
      </c>
      <c r="R9" s="2">
        <v>7</v>
      </c>
      <c r="S9" s="5" t="str">
        <f t="shared" si="8"/>
        <v>s</v>
      </c>
      <c r="T9" s="23" t="str">
        <f t="shared" si="9"/>
        <v>n</v>
      </c>
      <c r="U9" s="24" t="str">
        <f xml:space="preserve"> IFERROR( INDEX($L$3:$L$44, MATCH(表格1_334[[#This Row],[鍵盤按鍵]], $K$3:$K$44,0)), "")</f>
        <v>ㄋ</v>
      </c>
      <c r="X9" s="25">
        <f t="shared" si="10"/>
        <v>7</v>
      </c>
      <c r="Y9" s="26" t="s">
        <v>36</v>
      </c>
      <c r="Z9" s="27" t="s">
        <v>37</v>
      </c>
      <c r="AA9" s="28" t="str">
        <f xml:space="preserve"> IFERROR( INDEX(表格1_334[字典編碼], MATCH($Y9, 表格1_334[方音符號], 0)), "")</f>
        <v>k</v>
      </c>
      <c r="AB9" s="28" t="str">
        <f t="shared" si="0"/>
        <v>k</v>
      </c>
      <c r="AC9" s="29" t="str">
        <f xml:space="preserve"> IFERROR( INDEX(表格1_334[鍵盤按鍵], MATCH($Y9, 表格1_334[方音符號], 0)), "")</f>
        <v>e</v>
      </c>
      <c r="AE9" s="46" t="s">
        <v>11</v>
      </c>
      <c r="AF9" s="1">
        <f xml:space="preserve"> LEN(AG9)</f>
        <v>41</v>
      </c>
      <c r="AG9" s="37" t="str">
        <f xml:space="preserve"> _xlfn.CONCAT(AC$3:AC$38,AC$40:AC$44)</f>
        <v>1qz2wsedtyhbncuj8oki9l/pm-axgrfv;0,.43657</v>
      </c>
      <c r="AT9" s="38" t="s">
        <v>25</v>
      </c>
      <c r="AU9" s="52" t="str">
        <f>AU5</f>
        <v>5</v>
      </c>
      <c r="AV9" s="40">
        <f xml:space="preserve"> FIND(AU9, AG9)</f>
        <v>40</v>
      </c>
    </row>
    <row r="10" spans="1:48" ht="32.25">
      <c r="A10" s="1" t="s">
        <v>2</v>
      </c>
      <c r="F10" s="2">
        <f t="shared" si="1"/>
        <v>8</v>
      </c>
      <c r="G10" s="98" t="str">
        <f t="shared" si="2"/>
        <v>d</v>
      </c>
      <c r="H10" s="98" t="str">
        <f t="shared" si="3"/>
        <v>x</v>
      </c>
      <c r="J10" s="2">
        <v>8</v>
      </c>
      <c r="K10" s="21" t="str">
        <f t="shared" si="4"/>
        <v>x</v>
      </c>
      <c r="L10" s="21" t="str">
        <f t="shared" si="5"/>
        <v>ㄌ</v>
      </c>
      <c r="N10" s="2">
        <v>8</v>
      </c>
      <c r="O10" s="22" t="str">
        <f t="shared" si="6"/>
        <v>K</v>
      </c>
      <c r="P10" s="22" t="str">
        <f t="shared" si="7"/>
        <v>ㄎ</v>
      </c>
      <c r="R10" s="2">
        <v>8</v>
      </c>
      <c r="S10" s="5" t="str">
        <f t="shared" si="8"/>
        <v>x</v>
      </c>
      <c r="T10" s="23" t="str">
        <f t="shared" si="9"/>
        <v>d</v>
      </c>
      <c r="U10" s="24" t="str">
        <f xml:space="preserve"> IFERROR( INDEX($L$3:$L$44, MATCH(表格1_334[[#This Row],[鍵盤按鍵]], $K$3:$K$44,0)), "")</f>
        <v>ㄌ</v>
      </c>
      <c r="X10" s="31">
        <f t="shared" si="10"/>
        <v>8</v>
      </c>
      <c r="Y10" s="32" t="s">
        <v>38</v>
      </c>
      <c r="Z10" s="33" t="s">
        <v>39</v>
      </c>
      <c r="AA10" s="34" t="str">
        <f xml:space="preserve"> IFERROR( INDEX(表格1_334[字典編碼], MATCH($Y10, 表格1_334[方音符號], 0)), "")</f>
        <v>K</v>
      </c>
      <c r="AB10" s="34" t="str">
        <f t="shared" si="0"/>
        <v>K</v>
      </c>
      <c r="AC10" s="35" t="str">
        <f xml:space="preserve"> IFERROR( INDEX(表格1_334[鍵盤按鍵], MATCH($Y10, 表格1_334[方音符號], 0)), "")</f>
        <v>d</v>
      </c>
      <c r="AE10" s="53" t="s">
        <v>13</v>
      </c>
      <c r="AF10" s="1">
        <f xml:space="preserve"> LEN(AG10)</f>
        <v>41</v>
      </c>
      <c r="AG10" s="37" t="str">
        <f xml:space="preserve"> _xlfn.CONCAT(Y$3:Y$38,Y$40:Y$44)</f>
        <v>ㄅㄆㆠㄉㄊㄋㄍㄎㆣㄗㄘㆡㄙㄏㄧㄨㄚㆤㄜㆦㄞㄠㆭㄣㆬ鼻ㄇㄌㄫㄐㄑㄒㄤㄢㆰㆲˋ˪ˊ˫˙</v>
      </c>
      <c r="AU10" s="49" t="str">
        <f xml:space="preserve"> MID(AG10, AV9, 1)</f>
        <v>˫</v>
      </c>
      <c r="AV10" s="40"/>
    </row>
    <row r="11" spans="1:48" ht="32.25">
      <c r="A11" s="12" t="s">
        <v>40</v>
      </c>
      <c r="F11" s="2">
        <f t="shared" si="1"/>
        <v>9</v>
      </c>
      <c r="G11" s="98" t="str">
        <f t="shared" si="2"/>
        <v>k</v>
      </c>
      <c r="H11" s="98" t="str">
        <f t="shared" si="3"/>
        <v>e</v>
      </c>
      <c r="J11" s="2">
        <v>9</v>
      </c>
      <c r="K11" s="21" t="str">
        <f t="shared" si="4"/>
        <v>e</v>
      </c>
      <c r="L11" s="21" t="str">
        <f t="shared" si="5"/>
        <v>ㄍ</v>
      </c>
      <c r="N11" s="2">
        <v>9</v>
      </c>
      <c r="O11" s="22" t="str">
        <f t="shared" si="6"/>
        <v>g</v>
      </c>
      <c r="P11" s="22" t="str">
        <f t="shared" si="7"/>
        <v>ㆣ</v>
      </c>
      <c r="R11" s="2">
        <v>9</v>
      </c>
      <c r="S11" s="5" t="str">
        <f t="shared" si="8"/>
        <v>e</v>
      </c>
      <c r="T11" s="23" t="str">
        <f t="shared" si="9"/>
        <v>k</v>
      </c>
      <c r="U11" s="24" t="str">
        <f xml:space="preserve"> IFERROR( INDEX($L$3:$L$44, MATCH(表格1_334[[#This Row],[鍵盤按鍵]], $K$3:$K$44,0)), "")</f>
        <v>ㄍ</v>
      </c>
      <c r="X11" s="41">
        <f t="shared" si="10"/>
        <v>9</v>
      </c>
      <c r="Y11" s="42" t="s">
        <v>41</v>
      </c>
      <c r="Z11" s="43" t="s">
        <v>42</v>
      </c>
      <c r="AA11" s="44" t="str">
        <f xml:space="preserve"> IFERROR( INDEX(表格1_334[字典編碼], MATCH($Y11, 表格1_334[方音符號], 0)), "")</f>
        <v>g</v>
      </c>
      <c r="AB11" s="44" t="str">
        <f t="shared" si="0"/>
        <v>g</v>
      </c>
      <c r="AC11" s="45" t="str">
        <f xml:space="preserve"> IFERROR( INDEX(表格1_334[鍵盤按鍵], MATCH($Y11, 表格1_334[方音符號], 0)), "")</f>
        <v>t</v>
      </c>
      <c r="AH11" s="54"/>
    </row>
    <row r="12" spans="1:48" ht="32.25">
      <c r="A12" s="2">
        <f xml:space="preserve"> SEARCH("|",$A$11,1)</f>
        <v>7</v>
      </c>
      <c r="F12" s="2">
        <f t="shared" si="1"/>
        <v>10</v>
      </c>
      <c r="G12" s="98" t="str">
        <f t="shared" si="2"/>
        <v>K</v>
      </c>
      <c r="H12" s="98" t="str">
        <f t="shared" si="3"/>
        <v>d</v>
      </c>
      <c r="J12" s="2">
        <v>10</v>
      </c>
      <c r="K12" s="21" t="str">
        <f t="shared" si="4"/>
        <v>d</v>
      </c>
      <c r="L12" s="21" t="str">
        <f t="shared" si="5"/>
        <v>ㄎ</v>
      </c>
      <c r="N12" s="2">
        <v>10</v>
      </c>
      <c r="O12" s="22" t="str">
        <f t="shared" si="6"/>
        <v>c</v>
      </c>
      <c r="P12" s="22" t="str">
        <f t="shared" si="7"/>
        <v>ㄗ</v>
      </c>
      <c r="R12" s="2">
        <v>10</v>
      </c>
      <c r="S12" s="5" t="str">
        <f t="shared" si="8"/>
        <v>d</v>
      </c>
      <c r="T12" s="23" t="str">
        <f t="shared" si="9"/>
        <v>K</v>
      </c>
      <c r="U12" s="24" t="str">
        <f xml:space="preserve"> IFERROR( INDEX($L$3:$L$44, MATCH(表格1_334[[#This Row],[鍵盤按鍵]], $K$3:$K$44,0)), "")</f>
        <v>ㄎ</v>
      </c>
      <c r="X12" s="25">
        <f t="shared" si="10"/>
        <v>10</v>
      </c>
      <c r="Y12" s="26" t="s">
        <v>43</v>
      </c>
      <c r="Z12" s="27" t="s">
        <v>44</v>
      </c>
      <c r="AA12" s="28" t="str">
        <f xml:space="preserve"> IFERROR( INDEX(表格1_334[字典編碼], MATCH($Y12, 表格1_334[方音符號], 0)), "")</f>
        <v>c</v>
      </c>
      <c r="AB12" s="28" t="str">
        <f t="shared" si="0"/>
        <v>c</v>
      </c>
      <c r="AC12" s="29" t="str">
        <f xml:space="preserve"> IFERROR( INDEX(表格1_334[鍵盤按鍵], MATCH($Y12, 表格1_334[方音符號], 0)), "")</f>
        <v>y</v>
      </c>
      <c r="AE12" s="30" t="s">
        <v>45</v>
      </c>
      <c r="AG12" s="99" t="str">
        <f xml:space="preserve"> "- xlit|" &amp; AG13 &amp; "|" &amp; AG14 &amp; "|"</f>
        <v>- xlit|pPbtTnkKgcCzshiuaeoOIUGDBN|ㄅㄆㆠㄉㄊㄋㄍㄎㆣㄗㄘㆡㄙㄏㄧㄨㄚㆤㄜㆦㄞㄠㆭㄣㆬ鼻|</v>
      </c>
      <c r="AH12" s="47"/>
      <c r="AI12" s="47"/>
      <c r="AJ12" s="47"/>
      <c r="AK12" s="47"/>
      <c r="AL12" s="47"/>
      <c r="AM12" s="47"/>
      <c r="AN12" s="47"/>
      <c r="AO12" s="47"/>
      <c r="AP12" s="47"/>
    </row>
    <row r="13" spans="1:48" ht="32.25">
      <c r="A13" s="2">
        <f xml:space="preserve"> SEARCH("|",$A$11,A12+1)</f>
        <v>49</v>
      </c>
      <c r="F13" s="2">
        <f t="shared" si="1"/>
        <v>11</v>
      </c>
      <c r="G13" s="98" t="str">
        <f t="shared" si="2"/>
        <v>h</v>
      </c>
      <c r="H13" s="98" t="str">
        <f t="shared" si="3"/>
        <v>c</v>
      </c>
      <c r="J13" s="2">
        <v>11</v>
      </c>
      <c r="K13" s="21" t="str">
        <f t="shared" si="4"/>
        <v>c</v>
      </c>
      <c r="L13" s="21" t="str">
        <f t="shared" si="5"/>
        <v>ㄏ</v>
      </c>
      <c r="N13" s="2">
        <v>11</v>
      </c>
      <c r="O13" s="22" t="str">
        <f t="shared" si="6"/>
        <v>C</v>
      </c>
      <c r="P13" s="22" t="str">
        <f t="shared" si="7"/>
        <v>ㄘ</v>
      </c>
      <c r="R13" s="2">
        <v>11</v>
      </c>
      <c r="S13" s="5" t="str">
        <f t="shared" si="8"/>
        <v>c</v>
      </c>
      <c r="T13" s="23" t="str">
        <f t="shared" si="9"/>
        <v>h</v>
      </c>
      <c r="U13" s="24" t="str">
        <f xml:space="preserve"> IFERROR( INDEX($L$3:$L$44, MATCH(表格1_334[[#This Row],[鍵盤按鍵]], $K$3:$K$44,0)), "")</f>
        <v>ㄏ</v>
      </c>
      <c r="X13" s="31">
        <f t="shared" si="10"/>
        <v>11</v>
      </c>
      <c r="Y13" s="32" t="s">
        <v>46</v>
      </c>
      <c r="Z13" s="33" t="s">
        <v>47</v>
      </c>
      <c r="AA13" s="34" t="str">
        <f xml:space="preserve"> IFERROR( INDEX(表格1_334[字典編碼], MATCH($Y13, 表格1_334[方音符號], 0)), "")</f>
        <v>C</v>
      </c>
      <c r="AB13" s="34" t="str">
        <f t="shared" si="0"/>
        <v>C</v>
      </c>
      <c r="AC13" s="35" t="str">
        <f xml:space="preserve"> IFERROR( INDEX(表格1_334[鍵盤按鍵], MATCH($Y13, 表格1_334[方音符號], 0)), "")</f>
        <v>h</v>
      </c>
      <c r="AE13" s="36" t="s">
        <v>12</v>
      </c>
      <c r="AF13" s="1">
        <f xml:space="preserve"> LEN(AG13)</f>
        <v>26</v>
      </c>
      <c r="AG13" s="37" t="str">
        <f xml:space="preserve"> _xlfn.CONCAT(AB3:AB28)</f>
        <v>pPbtTnkKgcCzshiuaeoOIUGDBN</v>
      </c>
      <c r="AT13" s="38" t="s">
        <v>25</v>
      </c>
      <c r="AU13" s="52" t="str">
        <f>AU4</f>
        <v>7</v>
      </c>
      <c r="AV13" s="40" t="e">
        <f xml:space="preserve"> FIND(AU13, AG13)</f>
        <v>#VALUE!</v>
      </c>
    </row>
    <row r="14" spans="1:48" ht="32.25">
      <c r="A14" s="2">
        <f xml:space="preserve"> SEARCH("|",$A$11,A13+1)</f>
        <v>91</v>
      </c>
      <c r="F14" s="2">
        <f t="shared" si="1"/>
        <v>12</v>
      </c>
      <c r="G14" s="98" t="str">
        <f t="shared" si="2"/>
        <v>j</v>
      </c>
      <c r="H14" s="98" t="str">
        <f t="shared" si="3"/>
        <v>r</v>
      </c>
      <c r="J14" s="2">
        <v>12</v>
      </c>
      <c r="K14" s="21" t="str">
        <f t="shared" si="4"/>
        <v>r</v>
      </c>
      <c r="L14" s="21" t="str">
        <f t="shared" si="5"/>
        <v>ㄐ</v>
      </c>
      <c r="N14" s="2">
        <v>12</v>
      </c>
      <c r="O14" s="22" t="str">
        <f t="shared" si="6"/>
        <v>z</v>
      </c>
      <c r="P14" s="22" t="str">
        <f t="shared" si="7"/>
        <v>ㆡ</v>
      </c>
      <c r="R14" s="2">
        <v>12</v>
      </c>
      <c r="S14" s="5" t="str">
        <f t="shared" si="8"/>
        <v>r</v>
      </c>
      <c r="T14" s="23" t="str">
        <f t="shared" si="9"/>
        <v>j</v>
      </c>
      <c r="U14" s="24" t="str">
        <f xml:space="preserve"> IFERROR( INDEX($L$3:$L$44, MATCH(表格1_334[[#This Row],[鍵盤按鍵]], $K$3:$K$44,0)), "")</f>
        <v>ㄐ</v>
      </c>
      <c r="X14" s="31">
        <f t="shared" si="10"/>
        <v>12</v>
      </c>
      <c r="Y14" s="32" t="s">
        <v>48</v>
      </c>
      <c r="Z14" s="33" t="s">
        <v>49</v>
      </c>
      <c r="AA14" s="34" t="str">
        <f xml:space="preserve"> IFERROR( INDEX(表格1_334[字典編碼], MATCH($Y14, 表格1_334[方音符號], 0)), "")</f>
        <v>z</v>
      </c>
      <c r="AB14" s="34" t="str">
        <f t="shared" si="0"/>
        <v>z</v>
      </c>
      <c r="AC14" s="35" t="str">
        <f xml:space="preserve"> IFERROR( INDEX(表格1_334[鍵盤按鍵], MATCH($Y14, 表格1_334[方音符號], 0)), "")</f>
        <v>b</v>
      </c>
      <c r="AE14" s="53" t="s">
        <v>13</v>
      </c>
      <c r="AF14" s="1">
        <f xml:space="preserve"> LEN(AG14)</f>
        <v>26</v>
      </c>
      <c r="AG14" s="37" t="str">
        <f xml:space="preserve"> _xlfn.CONCAT(Y3:Y28)</f>
        <v>ㄅㄆㆠㄉㄊㄋㄍㄎㆣㄗㄘㆡㄙㄏㄧㄨㄚㆤㄜㆦㄞㄠㆭㄣㆬ鼻</v>
      </c>
      <c r="AU14" s="49" t="e">
        <f xml:space="preserve"> MID(AG14, AV13, 1)</f>
        <v>#VALUE!</v>
      </c>
      <c r="AV14" s="40"/>
    </row>
    <row r="15" spans="1:48" ht="32.25">
      <c r="A15" s="50" t="str">
        <f xml:space="preserve"> MID($A$11,A12+1, A13-A12-1)</f>
        <v>1qaz2wsxedcrfvtgbyhnujm8ik,9ol.0p;/-43657</v>
      </c>
      <c r="B15" s="51">
        <f xml:space="preserve"> LEN(A15)</f>
        <v>41</v>
      </c>
      <c r="F15" s="2">
        <f t="shared" si="1"/>
        <v>13</v>
      </c>
      <c r="G15" s="98" t="str">
        <f t="shared" si="2"/>
        <v>J</v>
      </c>
      <c r="H15" s="98" t="str">
        <f t="shared" si="3"/>
        <v>f</v>
      </c>
      <c r="J15" s="2">
        <v>13</v>
      </c>
      <c r="K15" s="21" t="str">
        <f t="shared" si="4"/>
        <v>f</v>
      </c>
      <c r="L15" s="21" t="str">
        <f t="shared" si="5"/>
        <v>ㄑ</v>
      </c>
      <c r="N15" s="2">
        <v>13</v>
      </c>
      <c r="O15" s="22" t="str">
        <f t="shared" si="6"/>
        <v>s</v>
      </c>
      <c r="P15" s="22" t="str">
        <f t="shared" si="7"/>
        <v>ㄙ</v>
      </c>
      <c r="R15" s="2">
        <v>13</v>
      </c>
      <c r="S15" s="5" t="str">
        <f t="shared" si="8"/>
        <v>f</v>
      </c>
      <c r="T15" s="23" t="str">
        <f t="shared" si="9"/>
        <v>J</v>
      </c>
      <c r="U15" s="24" t="str">
        <f xml:space="preserve"> IFERROR( INDEX($L$3:$L$44, MATCH(表格1_334[[#This Row],[鍵盤按鍵]], $K$3:$K$44,0)), "")</f>
        <v>ㄑ</v>
      </c>
      <c r="X15" s="41">
        <f t="shared" si="10"/>
        <v>13</v>
      </c>
      <c r="Y15" s="42" t="s">
        <v>50</v>
      </c>
      <c r="Z15" s="43" t="s">
        <v>51</v>
      </c>
      <c r="AA15" s="44" t="str">
        <f xml:space="preserve"> IFERROR( INDEX(表格1_334[字典編碼], MATCH($Y15, 表格1_334[方音符號], 0)), "")</f>
        <v>s</v>
      </c>
      <c r="AB15" s="44" t="str">
        <f t="shared" si="0"/>
        <v>s</v>
      </c>
      <c r="AC15" s="45" t="str">
        <f xml:space="preserve"> IFERROR( INDEX(表格1_334[鍵盤按鍵], MATCH($Y15, 表格1_334[方音符號], 0)), "")</f>
        <v>n</v>
      </c>
    </row>
    <row r="16" spans="1:48" ht="32.25">
      <c r="A16" s="50" t="str">
        <f xml:space="preserve"> MID($A$11,A13+1, A14-A13-1)</f>
        <v>ㄅㄆㄇㆠㄉㄊㄋㄌㄍㄎㄏㄐㄑㄒㆣㄫㆡㄗㄘㄙㄧㄨㆬㄚㆦㄜㆰㄞㆤㄠㆲㄢㄣㄤㆭｎˋ˪ˊ˫．</v>
      </c>
      <c r="B16" s="51">
        <f xml:space="preserve"> LEN(A16)</f>
        <v>41</v>
      </c>
      <c r="F16" s="2">
        <f t="shared" si="1"/>
        <v>14</v>
      </c>
      <c r="G16" s="98" t="str">
        <f t="shared" si="2"/>
        <v>S</v>
      </c>
      <c r="H16" s="98" t="str">
        <f t="shared" si="3"/>
        <v>v</v>
      </c>
      <c r="J16" s="2">
        <v>14</v>
      </c>
      <c r="K16" s="21" t="str">
        <f t="shared" si="4"/>
        <v>v</v>
      </c>
      <c r="L16" s="21" t="str">
        <f t="shared" si="5"/>
        <v>ㄒ</v>
      </c>
      <c r="N16" s="2">
        <v>14</v>
      </c>
      <c r="O16" s="22" t="str">
        <f t="shared" si="6"/>
        <v>h</v>
      </c>
      <c r="P16" s="22" t="str">
        <f t="shared" si="7"/>
        <v>ㄏ</v>
      </c>
      <c r="R16" s="2">
        <v>14</v>
      </c>
      <c r="S16" s="5" t="str">
        <f t="shared" si="8"/>
        <v>v</v>
      </c>
      <c r="T16" s="23" t="str">
        <f t="shared" si="9"/>
        <v>S</v>
      </c>
      <c r="U16" s="24" t="str">
        <f xml:space="preserve"> IFERROR( INDEX($L$3:$L$44, MATCH(表格1_334[[#This Row],[鍵盤按鍵]], $K$3:$K$44,0)), "")</f>
        <v>ㄒ</v>
      </c>
      <c r="X16" s="55">
        <f t="shared" si="10"/>
        <v>14</v>
      </c>
      <c r="Y16" s="56" t="s">
        <v>52</v>
      </c>
      <c r="Z16" s="57" t="s">
        <v>53</v>
      </c>
      <c r="AA16" s="58" t="str">
        <f xml:space="preserve"> IFERROR( INDEX(表格1_334[字典編碼], MATCH($Y16, 表格1_334[方音符號], 0)), "")</f>
        <v>h</v>
      </c>
      <c r="AB16" s="58" t="str">
        <f t="shared" si="0"/>
        <v>h</v>
      </c>
      <c r="AC16" s="59" t="str">
        <f xml:space="preserve"> IFERROR( INDEX(表格1_334[鍵盤按鍵], MATCH($Y16, 表格1_334[方音符號], 0)), "")</f>
        <v>c</v>
      </c>
    </row>
    <row r="17" spans="1:29" ht="32.25">
      <c r="F17" s="2">
        <f t="shared" si="1"/>
        <v>15</v>
      </c>
      <c r="G17" s="98" t="str">
        <f t="shared" si="2"/>
        <v>g</v>
      </c>
      <c r="H17" s="98" t="str">
        <f t="shared" si="3"/>
        <v>t</v>
      </c>
      <c r="J17" s="2">
        <v>15</v>
      </c>
      <c r="K17" s="21" t="str">
        <f t="shared" si="4"/>
        <v>t</v>
      </c>
      <c r="L17" s="21" t="str">
        <f t="shared" si="5"/>
        <v>ㆣ</v>
      </c>
      <c r="N17" s="2">
        <v>15</v>
      </c>
      <c r="O17" s="22" t="str">
        <f t="shared" si="6"/>
        <v>i</v>
      </c>
      <c r="P17" s="22" t="str">
        <f t="shared" si="7"/>
        <v>ㄧ</v>
      </c>
      <c r="R17" s="2">
        <v>15</v>
      </c>
      <c r="S17" s="5" t="str">
        <f t="shared" si="8"/>
        <v>t</v>
      </c>
      <c r="T17" s="23" t="str">
        <f t="shared" si="9"/>
        <v>g</v>
      </c>
      <c r="U17" s="24" t="str">
        <f xml:space="preserve"> IFERROR( INDEX($L$3:$L$44, MATCH(表格1_334[[#This Row],[鍵盤按鍵]], $K$3:$K$44,0)), "")</f>
        <v>ㆣ</v>
      </c>
      <c r="X17" s="60">
        <f t="shared" si="10"/>
        <v>15</v>
      </c>
      <c r="Y17" s="26" t="s">
        <v>54</v>
      </c>
      <c r="Z17" s="27" t="s">
        <v>55</v>
      </c>
      <c r="AA17" s="28" t="str">
        <f xml:space="preserve"> IFERROR( INDEX(表格1_334[字典編碼], MATCH($Y17, 表格1_334[方音符號], 0)), "")</f>
        <v>i</v>
      </c>
      <c r="AB17" s="28" t="str">
        <f t="shared" si="0"/>
        <v>i</v>
      </c>
      <c r="AC17" s="29" t="str">
        <f xml:space="preserve"> IFERROR( INDEX(表格1_334[鍵盤按鍵], MATCH($Y17, 表格1_334[方音符號], 0)), "")</f>
        <v>u</v>
      </c>
    </row>
    <row r="18" spans="1:29" ht="32.25">
      <c r="F18" s="2">
        <f t="shared" si="1"/>
        <v>16</v>
      </c>
      <c r="G18" s="98" t="str">
        <f t="shared" si="2"/>
        <v>q</v>
      </c>
      <c r="H18" s="98" t="str">
        <f t="shared" si="3"/>
        <v>g</v>
      </c>
      <c r="J18" s="2">
        <v>16</v>
      </c>
      <c r="K18" s="21" t="str">
        <f t="shared" si="4"/>
        <v>g</v>
      </c>
      <c r="L18" s="21" t="str">
        <f t="shared" si="5"/>
        <v>ㄫ</v>
      </c>
      <c r="N18" s="2">
        <v>16</v>
      </c>
      <c r="O18" s="22" t="str">
        <f t="shared" si="6"/>
        <v>u</v>
      </c>
      <c r="P18" s="22" t="str">
        <f t="shared" si="7"/>
        <v>ㄨ</v>
      </c>
      <c r="R18" s="2">
        <v>16</v>
      </c>
      <c r="S18" s="5" t="str">
        <f t="shared" si="8"/>
        <v>g</v>
      </c>
      <c r="T18" s="23" t="str">
        <f t="shared" si="9"/>
        <v>q</v>
      </c>
      <c r="U18" s="24" t="str">
        <f xml:space="preserve"> IFERROR( INDEX($L$3:$L$44, MATCH(表格1_334[[#This Row],[鍵盤按鍵]], $K$3:$K$44,0)), "")</f>
        <v>ㄫ</v>
      </c>
      <c r="X18" s="61">
        <f t="shared" si="10"/>
        <v>16</v>
      </c>
      <c r="Y18" s="42" t="s">
        <v>56</v>
      </c>
      <c r="Z18" s="43" t="s">
        <v>57</v>
      </c>
      <c r="AA18" s="44" t="str">
        <f xml:space="preserve"> IFERROR( INDEX(表格1_334[字典編碼], MATCH($Y18, 表格1_334[方音符號], 0)), "")</f>
        <v>u</v>
      </c>
      <c r="AB18" s="44" t="str">
        <f t="shared" si="0"/>
        <v>u</v>
      </c>
      <c r="AC18" s="45" t="str">
        <f xml:space="preserve"> IFERROR( INDEX(表格1_334[鍵盤按鍵], MATCH($Y18, 表格1_334[方音符號], 0)), "")</f>
        <v>j</v>
      </c>
    </row>
    <row r="19" spans="1:29" ht="32.25">
      <c r="F19" s="2">
        <f t="shared" si="1"/>
        <v>17</v>
      </c>
      <c r="G19" s="98" t="str">
        <f t="shared" si="2"/>
        <v>z</v>
      </c>
      <c r="H19" s="98" t="str">
        <f t="shared" si="3"/>
        <v>b</v>
      </c>
      <c r="J19" s="2">
        <v>17</v>
      </c>
      <c r="K19" s="21" t="str">
        <f t="shared" si="4"/>
        <v>b</v>
      </c>
      <c r="L19" s="21" t="str">
        <f t="shared" si="5"/>
        <v>ㆡ</v>
      </c>
      <c r="N19" s="2">
        <v>17</v>
      </c>
      <c r="O19" s="22" t="str">
        <f t="shared" si="6"/>
        <v>a</v>
      </c>
      <c r="P19" s="22" t="str">
        <f t="shared" si="7"/>
        <v>ㄚ</v>
      </c>
      <c r="R19" s="2">
        <v>17</v>
      </c>
      <c r="S19" s="5" t="str">
        <f t="shared" si="8"/>
        <v>b</v>
      </c>
      <c r="T19" s="23" t="str">
        <f t="shared" si="9"/>
        <v>z</v>
      </c>
      <c r="U19" s="24" t="str">
        <f xml:space="preserve"> IFERROR( INDEX($L$3:$L$44, MATCH(表格1_334[[#This Row],[鍵盤按鍵]], $K$3:$K$44,0)), "")</f>
        <v>ㆡ</v>
      </c>
      <c r="X19" s="60">
        <f t="shared" si="10"/>
        <v>17</v>
      </c>
      <c r="Y19" s="26" t="s">
        <v>58</v>
      </c>
      <c r="Z19" s="27" t="s">
        <v>59</v>
      </c>
      <c r="AA19" s="28" t="str">
        <f xml:space="preserve"> IFERROR( INDEX(表格1_334[字典編碼], MATCH($Y19, 表格1_334[方音符號], 0)), "")</f>
        <v>a</v>
      </c>
      <c r="AB19" s="28" t="str">
        <f t="shared" si="0"/>
        <v>a</v>
      </c>
      <c r="AC19" s="29" t="str">
        <f xml:space="preserve"> IFERROR( INDEX(表格1_334[鍵盤按鍵], MATCH($Y19, 表格1_334[方音符號], 0)), "")</f>
        <v>8</v>
      </c>
    </row>
    <row r="20" spans="1:29" ht="32.25">
      <c r="A20" s="1" t="s">
        <v>60</v>
      </c>
      <c r="F20" s="2">
        <f t="shared" si="1"/>
        <v>18</v>
      </c>
      <c r="G20" s="98" t="str">
        <f t="shared" si="2"/>
        <v>c</v>
      </c>
      <c r="H20" s="98" t="str">
        <f t="shared" si="3"/>
        <v>y</v>
      </c>
      <c r="J20" s="2">
        <v>18</v>
      </c>
      <c r="K20" s="21" t="str">
        <f t="shared" si="4"/>
        <v>y</v>
      </c>
      <c r="L20" s="21" t="str">
        <f t="shared" si="5"/>
        <v>ㄗ</v>
      </c>
      <c r="N20" s="2">
        <v>18</v>
      </c>
      <c r="O20" s="22" t="str">
        <f t="shared" si="6"/>
        <v>o</v>
      </c>
      <c r="P20" s="22" t="str">
        <f t="shared" si="7"/>
        <v>ㆦ</v>
      </c>
      <c r="R20" s="2">
        <v>18</v>
      </c>
      <c r="S20" s="5" t="str">
        <f t="shared" si="8"/>
        <v>y</v>
      </c>
      <c r="T20" s="23" t="str">
        <f t="shared" si="9"/>
        <v>c</v>
      </c>
      <c r="U20" s="24" t="str">
        <f xml:space="preserve"> IFERROR( INDEX($L$3:$L$44, MATCH(表格1_334[[#This Row],[鍵盤按鍵]], $K$3:$K$44,0)), "")</f>
        <v>ㄗ</v>
      </c>
      <c r="X20" s="62">
        <f t="shared" si="10"/>
        <v>18</v>
      </c>
      <c r="Y20" s="32" t="s">
        <v>61</v>
      </c>
      <c r="Z20" s="33" t="s">
        <v>62</v>
      </c>
      <c r="AA20" s="34" t="str">
        <f xml:space="preserve"> IFERROR( INDEX(表格1_334[字典編碼], MATCH($Y20, 表格1_334[方音符號], 0)), "")</f>
        <v>e</v>
      </c>
      <c r="AB20" s="34" t="str">
        <f t="shared" si="0"/>
        <v>e</v>
      </c>
      <c r="AC20" s="35" t="str">
        <f xml:space="preserve"> IFERROR( INDEX(表格1_334[鍵盤按鍵], MATCH($Y20, 表格1_334[方音符號], 0)), "")</f>
        <v>o</v>
      </c>
    </row>
    <row r="21" spans="1:29" ht="32.25">
      <c r="A21" s="12" t="s">
        <v>63</v>
      </c>
      <c r="F21" s="2">
        <f t="shared" si="1"/>
        <v>19</v>
      </c>
      <c r="G21" s="98" t="str">
        <f t="shared" si="2"/>
        <v>C</v>
      </c>
      <c r="H21" s="98" t="str">
        <f t="shared" si="3"/>
        <v>h</v>
      </c>
      <c r="J21" s="2">
        <v>19</v>
      </c>
      <c r="K21" s="21" t="str">
        <f t="shared" si="4"/>
        <v>h</v>
      </c>
      <c r="L21" s="21" t="str">
        <f t="shared" si="5"/>
        <v>ㄘ</v>
      </c>
      <c r="N21" s="2">
        <v>19</v>
      </c>
      <c r="O21" s="22" t="str">
        <f t="shared" si="6"/>
        <v>ø</v>
      </c>
      <c r="P21" s="22" t="str">
        <f t="shared" si="7"/>
        <v>ㄜ</v>
      </c>
      <c r="R21" s="2">
        <v>19</v>
      </c>
      <c r="S21" s="5" t="str">
        <f t="shared" si="8"/>
        <v>h</v>
      </c>
      <c r="T21" s="23" t="str">
        <f t="shared" si="9"/>
        <v>C</v>
      </c>
      <c r="U21" s="24" t="str">
        <f xml:space="preserve"> IFERROR( INDEX($L$3:$L$44, MATCH(表格1_334[[#This Row],[鍵盤按鍵]], $K$3:$K$44,0)), "")</f>
        <v>ㄘ</v>
      </c>
      <c r="X21" s="62">
        <f t="shared" si="10"/>
        <v>19</v>
      </c>
      <c r="Y21" s="32" t="s">
        <v>64</v>
      </c>
      <c r="Z21" s="33" t="s">
        <v>65</v>
      </c>
      <c r="AA21" s="63" t="str">
        <f xml:space="preserve"> IFERROR( INDEX(表格1_334[字典編碼], MATCH($Y21, 表格1_334[方音符號], 0)), "")</f>
        <v>ø</v>
      </c>
      <c r="AB21" s="63" t="s">
        <v>66</v>
      </c>
      <c r="AC21" s="35" t="str">
        <f xml:space="preserve"> IFERROR( INDEX(表格1_334[鍵盤按鍵], MATCH($Y21, 表格1_334[方音符號], 0)), "")</f>
        <v>k</v>
      </c>
    </row>
    <row r="22" spans="1:29" ht="32.25">
      <c r="A22" s="2">
        <f xml:space="preserve"> SEARCH("|",A21,1)</f>
        <v>7</v>
      </c>
      <c r="F22" s="2">
        <f t="shared" si="1"/>
        <v>20</v>
      </c>
      <c r="G22" s="98" t="str">
        <f t="shared" si="2"/>
        <v>s</v>
      </c>
      <c r="H22" s="98" t="str">
        <f t="shared" si="3"/>
        <v>n</v>
      </c>
      <c r="J22" s="2">
        <v>20</v>
      </c>
      <c r="K22" s="21" t="str">
        <f t="shared" si="4"/>
        <v>n</v>
      </c>
      <c r="L22" s="21" t="str">
        <f t="shared" si="5"/>
        <v>ㄙ</v>
      </c>
      <c r="N22" s="2">
        <v>20</v>
      </c>
      <c r="O22" s="22" t="str">
        <f t="shared" si="6"/>
        <v>e</v>
      </c>
      <c r="P22" s="22" t="str">
        <f t="shared" si="7"/>
        <v>ㆤ</v>
      </c>
      <c r="R22" s="2">
        <v>20</v>
      </c>
      <c r="S22" s="5" t="str">
        <f t="shared" si="8"/>
        <v>n</v>
      </c>
      <c r="T22" s="23" t="str">
        <f t="shared" si="9"/>
        <v>s</v>
      </c>
      <c r="U22" s="24" t="str">
        <f xml:space="preserve"> IFERROR( INDEX($L$3:$L$44, MATCH(表格1_334[[#This Row],[鍵盤按鍵]], $K$3:$K$44,0)), "")</f>
        <v>ㄙ</v>
      </c>
      <c r="X22" s="61">
        <f t="shared" si="10"/>
        <v>20</v>
      </c>
      <c r="Y22" s="42" t="s">
        <v>67</v>
      </c>
      <c r="Z22" s="43" t="s">
        <v>68</v>
      </c>
      <c r="AA22" s="64" t="str">
        <f xml:space="preserve"> IFERROR( INDEX(表格1_334[字典編碼], MATCH($Y22, 表格1_334[方音符號], 0)), "")</f>
        <v>o</v>
      </c>
      <c r="AB22" s="64" t="s">
        <v>69</v>
      </c>
      <c r="AC22" s="45" t="str">
        <f xml:space="preserve"> IFERROR( INDEX(表格1_334[鍵盤按鍵], MATCH($Y22, 表格1_334[方音符號], 0)), "")</f>
        <v>i</v>
      </c>
    </row>
    <row r="23" spans="1:29" ht="32.25">
      <c r="A23" s="2">
        <f xml:space="preserve"> SEARCH("|",A21,A22+1)</f>
        <v>34</v>
      </c>
      <c r="F23" s="2">
        <f t="shared" si="1"/>
        <v>21</v>
      </c>
      <c r="G23" s="98" t="str">
        <f t="shared" si="2"/>
        <v>i</v>
      </c>
      <c r="H23" s="98" t="str">
        <f t="shared" si="3"/>
        <v>u</v>
      </c>
      <c r="J23" s="2">
        <v>21</v>
      </c>
      <c r="K23" s="21" t="str">
        <f t="shared" si="4"/>
        <v>u</v>
      </c>
      <c r="L23" s="21" t="str">
        <f t="shared" si="5"/>
        <v>ㄧ</v>
      </c>
      <c r="N23" s="2">
        <v>21</v>
      </c>
      <c r="O23" s="22" t="str">
        <f t="shared" si="6"/>
        <v>I</v>
      </c>
      <c r="P23" s="22" t="str">
        <f t="shared" si="7"/>
        <v>ㄞ</v>
      </c>
      <c r="R23" s="2">
        <v>21</v>
      </c>
      <c r="S23" s="5" t="str">
        <f t="shared" si="8"/>
        <v>u</v>
      </c>
      <c r="T23" s="23" t="str">
        <f t="shared" si="9"/>
        <v>i</v>
      </c>
      <c r="U23" s="24" t="str">
        <f xml:space="preserve"> IFERROR( INDEX($L$3:$L$44, MATCH(表格1_334[[#This Row],[鍵盤按鍵]], $K$3:$K$44,0)), "")</f>
        <v>ㄧ</v>
      </c>
      <c r="X23" s="60">
        <f t="shared" si="10"/>
        <v>21</v>
      </c>
      <c r="Y23" s="26" t="s">
        <v>70</v>
      </c>
      <c r="Z23" s="27" t="s">
        <v>71</v>
      </c>
      <c r="AA23" s="28" t="str">
        <f xml:space="preserve"> IFERROR( INDEX(表格1_334[字典編碼], MATCH($Y23, 表格1_334[方音符號], 0)), "")</f>
        <v>I</v>
      </c>
      <c r="AB23" s="28" t="str">
        <f t="shared" ref="AB23:AB44" si="11">AA23</f>
        <v>I</v>
      </c>
      <c r="AC23" s="29" t="str">
        <f xml:space="preserve"> IFERROR( INDEX(表格1_334[鍵盤按鍵], MATCH($Y23, 表格1_334[方音符號], 0)), "")</f>
        <v>9</v>
      </c>
    </row>
    <row r="24" spans="1:29" ht="32.25">
      <c r="A24" s="2">
        <f xml:space="preserve"> SEARCH("|",A21,A23+1)</f>
        <v>61</v>
      </c>
      <c r="F24" s="2">
        <f t="shared" si="1"/>
        <v>22</v>
      </c>
      <c r="G24" s="98" t="str">
        <f t="shared" si="2"/>
        <v>u</v>
      </c>
      <c r="H24" s="98" t="str">
        <f t="shared" si="3"/>
        <v>j</v>
      </c>
      <c r="J24" s="2">
        <v>22</v>
      </c>
      <c r="K24" s="21" t="str">
        <f t="shared" si="4"/>
        <v>j</v>
      </c>
      <c r="L24" s="21" t="str">
        <f t="shared" si="5"/>
        <v>ㄨ</v>
      </c>
      <c r="N24" s="2">
        <v>22</v>
      </c>
      <c r="O24" s="22" t="str">
        <f t="shared" si="6"/>
        <v>U</v>
      </c>
      <c r="P24" s="22" t="str">
        <f t="shared" si="7"/>
        <v>ㄠ</v>
      </c>
      <c r="R24" s="2">
        <v>22</v>
      </c>
      <c r="S24" s="5" t="str">
        <f t="shared" si="8"/>
        <v>j</v>
      </c>
      <c r="T24" s="23" t="str">
        <f t="shared" si="9"/>
        <v>u</v>
      </c>
      <c r="U24" s="24" t="str">
        <f xml:space="preserve"> IFERROR( INDEX($L$3:$L$44, MATCH(表格1_334[[#This Row],[鍵盤按鍵]], $K$3:$K$44,0)), "")</f>
        <v>ㄨ</v>
      </c>
      <c r="X24" s="62">
        <f t="shared" si="10"/>
        <v>22</v>
      </c>
      <c r="Y24" s="32" t="s">
        <v>72</v>
      </c>
      <c r="Z24" s="33" t="s">
        <v>73</v>
      </c>
      <c r="AA24" s="34" t="str">
        <f xml:space="preserve"> IFERROR( INDEX(表格1_334[字典編碼], MATCH($Y24, 表格1_334[方音符號], 0)), "")</f>
        <v>U</v>
      </c>
      <c r="AB24" s="34" t="str">
        <f t="shared" si="11"/>
        <v>U</v>
      </c>
      <c r="AC24" s="35" t="str">
        <f xml:space="preserve"> IFERROR( INDEX(表格1_334[鍵盤按鍵], MATCH($Y24, 表格1_334[方音符號], 0)), "")</f>
        <v>l</v>
      </c>
    </row>
    <row r="25" spans="1:29" ht="32.25">
      <c r="A25" s="50" t="str">
        <f xml:space="preserve"> MID(A21,A22+1, A24-A23-1)</f>
        <v>pPbtTdkKgcCzshiuaoøeIUBDGN</v>
      </c>
      <c r="B25" s="51">
        <f xml:space="preserve"> LEN(A25)</f>
        <v>26</v>
      </c>
      <c r="F25" s="2">
        <f t="shared" si="1"/>
        <v>23</v>
      </c>
      <c r="G25" s="98" t="str">
        <f t="shared" si="2"/>
        <v>B</v>
      </c>
      <c r="H25" s="98" t="str">
        <f t="shared" si="3"/>
        <v>m</v>
      </c>
      <c r="J25" s="2">
        <v>23</v>
      </c>
      <c r="K25" s="21" t="str">
        <f t="shared" si="4"/>
        <v>m</v>
      </c>
      <c r="L25" s="21" t="str">
        <f t="shared" si="5"/>
        <v>ㆬ</v>
      </c>
      <c r="N25" s="2">
        <v>23</v>
      </c>
      <c r="O25" s="22" t="str">
        <f t="shared" si="6"/>
        <v>B</v>
      </c>
      <c r="P25" s="22" t="str">
        <f t="shared" si="7"/>
        <v>ㆬ</v>
      </c>
      <c r="R25" s="2">
        <v>23</v>
      </c>
      <c r="S25" s="5" t="str">
        <f t="shared" si="8"/>
        <v>m</v>
      </c>
      <c r="T25" s="23" t="str">
        <f t="shared" si="9"/>
        <v>B</v>
      </c>
      <c r="U25" s="24" t="str">
        <f xml:space="preserve"> IFERROR( INDEX($L$3:$L$44, MATCH(表格1_334[[#This Row],[鍵盤按鍵]], $K$3:$K$44,0)), "")</f>
        <v>ㆬ</v>
      </c>
      <c r="X25" s="60">
        <f t="shared" si="10"/>
        <v>23</v>
      </c>
      <c r="Y25" s="26" t="s">
        <v>74</v>
      </c>
      <c r="Z25" s="65" t="s">
        <v>75</v>
      </c>
      <c r="AA25" s="28" t="str">
        <f xml:space="preserve"> IFERROR( INDEX(表格1_334[字典編碼], MATCH($Y25, 表格1_334[方音符號], 0)), "")</f>
        <v>G</v>
      </c>
      <c r="AB25" s="28" t="str">
        <f t="shared" si="11"/>
        <v>G</v>
      </c>
      <c r="AC25" s="29" t="str">
        <f xml:space="preserve"> IFERROR( INDEX(表格1_334[鍵盤按鍵], MATCH($Y25, 表格1_334[方音符號], 0)), "")</f>
        <v>/</v>
      </c>
    </row>
    <row r="26" spans="1:29" ht="32.25">
      <c r="A26" s="50" t="str">
        <f xml:space="preserve"> MID(A21,A23+1, A24-A23-1)</f>
        <v>ㄅㄆㆠㄉㄊㄌㄍㄎㆣㄗㄘㆡㄙㄏㄧㄨㄚㆦㄜㆤㄞㄠㆬㄣㆭｎ</v>
      </c>
      <c r="B26" s="51">
        <f xml:space="preserve"> LEN(A26)</f>
        <v>26</v>
      </c>
      <c r="F26" s="2">
        <f t="shared" si="1"/>
        <v>24</v>
      </c>
      <c r="G26" s="98" t="str">
        <f t="shared" si="2"/>
        <v>a</v>
      </c>
      <c r="H26" s="98" t="str">
        <f t="shared" si="3"/>
        <v>8</v>
      </c>
      <c r="J26" s="2">
        <v>24</v>
      </c>
      <c r="K26" s="21" t="str">
        <f t="shared" si="4"/>
        <v>8</v>
      </c>
      <c r="L26" s="21" t="str">
        <f t="shared" si="5"/>
        <v>ㄚ</v>
      </c>
      <c r="N26" s="2">
        <v>24</v>
      </c>
      <c r="O26" s="22" t="str">
        <f t="shared" si="6"/>
        <v>D</v>
      </c>
      <c r="P26" s="22" t="str">
        <f t="shared" si="7"/>
        <v>ㄣ</v>
      </c>
      <c r="R26" s="2">
        <v>24</v>
      </c>
      <c r="S26" s="5" t="str">
        <f t="shared" si="8"/>
        <v>8</v>
      </c>
      <c r="T26" s="23" t="str">
        <f t="shared" si="9"/>
        <v>a</v>
      </c>
      <c r="U26" s="24" t="str">
        <f xml:space="preserve"> IFERROR( INDEX($L$3:$L$44, MATCH(表格1_334[[#This Row],[鍵盤按鍵]], $K$3:$K$44,0)), "")</f>
        <v>ㄚ</v>
      </c>
      <c r="X26" s="62">
        <f t="shared" si="10"/>
        <v>24</v>
      </c>
      <c r="Y26" s="32" t="s">
        <v>76</v>
      </c>
      <c r="Z26" s="66" t="s">
        <v>77</v>
      </c>
      <c r="AA26" s="34" t="str">
        <f xml:space="preserve"> IFERROR( INDEX(表格1_334[字典編碼], MATCH($Y26, 表格1_334[方音符號], 0)), "")</f>
        <v>D</v>
      </c>
      <c r="AB26" s="34" t="str">
        <f t="shared" si="11"/>
        <v>D</v>
      </c>
      <c r="AC26" s="35" t="str">
        <f xml:space="preserve"> IFERROR( INDEX(表格1_334[鍵盤按鍵], MATCH($Y26, 表格1_334[方音符號], 0)), "")</f>
        <v>p</v>
      </c>
    </row>
    <row r="27" spans="1:29" ht="32.25">
      <c r="F27" s="2">
        <f t="shared" si="1"/>
        <v>25</v>
      </c>
      <c r="G27" s="98" t="str">
        <f t="shared" si="2"/>
        <v>o</v>
      </c>
      <c r="H27" s="98" t="str">
        <f t="shared" si="3"/>
        <v>i</v>
      </c>
      <c r="J27" s="2">
        <v>25</v>
      </c>
      <c r="K27" s="21" t="str">
        <f t="shared" si="4"/>
        <v>i</v>
      </c>
      <c r="L27" s="21" t="str">
        <f t="shared" si="5"/>
        <v>ㆦ</v>
      </c>
      <c r="N27" s="2">
        <v>25</v>
      </c>
      <c r="O27" s="22" t="str">
        <f t="shared" si="6"/>
        <v>G</v>
      </c>
      <c r="P27" s="22" t="str">
        <f t="shared" si="7"/>
        <v>ㆭ</v>
      </c>
      <c r="R27" s="2">
        <v>25</v>
      </c>
      <c r="S27" s="5" t="str">
        <f t="shared" si="8"/>
        <v>i</v>
      </c>
      <c r="T27" s="23" t="str">
        <f t="shared" si="9"/>
        <v>o</v>
      </c>
      <c r="U27" s="24" t="str">
        <f xml:space="preserve"> IFERROR( INDEX($L$3:$L$44, MATCH(表格1_334[[#This Row],[鍵盤按鍵]], $K$3:$K$44,0)), "")</f>
        <v>ㆦ</v>
      </c>
      <c r="X27" s="61">
        <f t="shared" si="10"/>
        <v>25</v>
      </c>
      <c r="Y27" s="42" t="s">
        <v>78</v>
      </c>
      <c r="Z27" s="67" t="s">
        <v>79</v>
      </c>
      <c r="AA27" s="44" t="str">
        <f xml:space="preserve"> IFERROR( INDEX(表格1_334[字典編碼], MATCH($Y27, 表格1_334[方音符號], 0)), "")</f>
        <v>B</v>
      </c>
      <c r="AB27" s="44" t="str">
        <f t="shared" si="11"/>
        <v>B</v>
      </c>
      <c r="AC27" s="45" t="str">
        <f xml:space="preserve"> IFERROR( INDEX(表格1_334[鍵盤按鍵], MATCH($Y27, 表格1_334[方音符號], 0)), "")</f>
        <v>m</v>
      </c>
    </row>
    <row r="28" spans="1:29" ht="32.25">
      <c r="F28" s="2">
        <f t="shared" si="1"/>
        <v>26</v>
      </c>
      <c r="G28" s="98" t="str">
        <f t="shared" si="2"/>
        <v>ø</v>
      </c>
      <c r="H28" s="98" t="str">
        <f t="shared" si="3"/>
        <v>k</v>
      </c>
      <c r="J28" s="2">
        <v>26</v>
      </c>
      <c r="K28" s="21" t="str">
        <f t="shared" si="4"/>
        <v>k</v>
      </c>
      <c r="L28" s="21" t="str">
        <f t="shared" si="5"/>
        <v>ㄜ</v>
      </c>
      <c r="N28" s="2">
        <v>26</v>
      </c>
      <c r="O28" s="22" t="str">
        <f t="shared" si="6"/>
        <v>N</v>
      </c>
      <c r="P28" s="22" t="str">
        <f t="shared" si="7"/>
        <v>ｎ</v>
      </c>
      <c r="R28" s="2">
        <v>26</v>
      </c>
      <c r="S28" s="5" t="str">
        <f t="shared" si="8"/>
        <v>k</v>
      </c>
      <c r="T28" s="23" t="str">
        <f t="shared" si="9"/>
        <v>ø</v>
      </c>
      <c r="U28" s="24" t="str">
        <f xml:space="preserve"> IFERROR( INDEX($L$3:$L$44, MATCH(表格1_334[[#This Row],[鍵盤按鍵]], $K$3:$K$44,0)), "")</f>
        <v>ㄜ</v>
      </c>
      <c r="X28" s="61">
        <f t="shared" si="10"/>
        <v>26</v>
      </c>
      <c r="Y28" s="42" t="s">
        <v>80</v>
      </c>
      <c r="Z28" s="68" t="s">
        <v>81</v>
      </c>
      <c r="AA28" s="44" t="s">
        <v>26</v>
      </c>
      <c r="AB28" s="44" t="str">
        <f t="shared" si="11"/>
        <v>N</v>
      </c>
      <c r="AC28" s="45" t="s">
        <v>82</v>
      </c>
    </row>
    <row r="29" spans="1:29" ht="32.25">
      <c r="F29" s="2">
        <f t="shared" si="1"/>
        <v>27</v>
      </c>
      <c r="G29" s="98" t="str">
        <f t="shared" si="2"/>
        <v>M</v>
      </c>
      <c r="H29" s="98" t="str">
        <f t="shared" si="3"/>
        <v>,</v>
      </c>
      <c r="J29" s="2">
        <v>27</v>
      </c>
      <c r="K29" s="21" t="str">
        <f t="shared" si="4"/>
        <v>,</v>
      </c>
      <c r="L29" s="21" t="str">
        <f t="shared" si="5"/>
        <v>ㆰ</v>
      </c>
      <c r="N29" s="2">
        <v>27</v>
      </c>
      <c r="O29" s="22" t="str">
        <f t="shared" si="6"/>
        <v/>
      </c>
      <c r="P29" s="22" t="str">
        <f t="shared" si="7"/>
        <v/>
      </c>
      <c r="R29" s="2">
        <v>27</v>
      </c>
      <c r="S29" s="5" t="str">
        <f t="shared" si="8"/>
        <v>,</v>
      </c>
      <c r="T29" s="23" t="str">
        <f t="shared" si="9"/>
        <v>M</v>
      </c>
      <c r="U29" s="24" t="str">
        <f xml:space="preserve"> IFERROR( INDEX($L$3:$L$44, MATCH(表格1_334[[#This Row],[鍵盤按鍵]], $K$3:$K$44,0)), "")</f>
        <v>ㆰ</v>
      </c>
      <c r="X29" s="69">
        <f t="shared" si="10"/>
        <v>27</v>
      </c>
      <c r="Y29" s="70" t="s">
        <v>83</v>
      </c>
      <c r="Z29" s="33" t="s">
        <v>84</v>
      </c>
      <c r="AA29" s="34" t="str">
        <f xml:space="preserve"> IFERROR( INDEX(表格1_334[字典編碼], MATCH($Y29, 表格1_334[方音符號], 0)), "")</f>
        <v>m</v>
      </c>
      <c r="AB29" s="34" t="str">
        <f t="shared" si="11"/>
        <v>m</v>
      </c>
      <c r="AC29" s="71" t="str">
        <f xml:space="preserve"> IFERROR( INDEX(表格1_334[鍵盤按鍵], MATCH($Y29, 表格1_334[方音符號], 0)), "")</f>
        <v>a</v>
      </c>
    </row>
    <row r="30" spans="1:29" ht="32.25">
      <c r="F30" s="2">
        <f t="shared" si="1"/>
        <v>28</v>
      </c>
      <c r="G30" s="98" t="str">
        <f t="shared" si="2"/>
        <v>I</v>
      </c>
      <c r="H30" s="98" t="str">
        <f t="shared" si="3"/>
        <v>9</v>
      </c>
      <c r="J30" s="2">
        <v>28</v>
      </c>
      <c r="K30" s="21" t="str">
        <f t="shared" si="4"/>
        <v>9</v>
      </c>
      <c r="L30" s="21" t="str">
        <f t="shared" si="5"/>
        <v>ㄞ</v>
      </c>
      <c r="N30" s="2">
        <v>28</v>
      </c>
      <c r="O30" s="22" t="str">
        <f t="shared" si="6"/>
        <v/>
      </c>
      <c r="P30" s="22" t="str">
        <f t="shared" si="7"/>
        <v/>
      </c>
      <c r="R30" s="2">
        <v>28</v>
      </c>
      <c r="S30" s="5" t="str">
        <f t="shared" si="8"/>
        <v>9</v>
      </c>
      <c r="T30" s="23" t="str">
        <f t="shared" si="9"/>
        <v>I</v>
      </c>
      <c r="U30" s="24" t="str">
        <f xml:space="preserve"> IFERROR( INDEX($L$3:$L$44, MATCH(表格1_334[[#This Row],[鍵盤按鍵]], $K$3:$K$44,0)), "")</f>
        <v>ㄞ</v>
      </c>
      <c r="X30" s="72">
        <f t="shared" si="10"/>
        <v>28</v>
      </c>
      <c r="Y30" s="70" t="s">
        <v>85</v>
      </c>
      <c r="Z30" s="43" t="s">
        <v>86</v>
      </c>
      <c r="AA30" s="44" t="str">
        <f xml:space="preserve"> IFERROR( INDEX(表格1_334[字典編碼], MATCH($Y30, 表格1_334[方音符號], 0)), "")</f>
        <v>d</v>
      </c>
      <c r="AB30" s="44" t="str">
        <f t="shared" si="11"/>
        <v>d</v>
      </c>
      <c r="AC30" s="73" t="str">
        <f xml:space="preserve"> IFERROR( INDEX(表格1_334[鍵盤按鍵], MATCH($Y30, 表格1_334[方音符號], 0)), "")</f>
        <v>x</v>
      </c>
    </row>
    <row r="31" spans="1:29" ht="32.25">
      <c r="F31" s="2">
        <f t="shared" si="1"/>
        <v>29</v>
      </c>
      <c r="G31" s="98" t="str">
        <f t="shared" si="2"/>
        <v>e</v>
      </c>
      <c r="H31" s="98" t="str">
        <f t="shared" si="3"/>
        <v>o</v>
      </c>
      <c r="J31" s="2">
        <v>29</v>
      </c>
      <c r="K31" s="21" t="str">
        <f t="shared" si="4"/>
        <v>o</v>
      </c>
      <c r="L31" s="21" t="str">
        <f t="shared" si="5"/>
        <v>ㆤ</v>
      </c>
      <c r="N31" s="2">
        <v>29</v>
      </c>
      <c r="O31" s="22" t="str">
        <f t="shared" si="6"/>
        <v/>
      </c>
      <c r="P31" s="22" t="str">
        <f t="shared" si="7"/>
        <v/>
      </c>
      <c r="R31" s="2">
        <v>29</v>
      </c>
      <c r="S31" s="5" t="str">
        <f t="shared" si="8"/>
        <v>o</v>
      </c>
      <c r="T31" s="23" t="str">
        <f t="shared" si="9"/>
        <v>e</v>
      </c>
      <c r="U31" s="24" t="str">
        <f xml:space="preserve"> IFERROR( INDEX($L$3:$L$44, MATCH(表格1_334[[#This Row],[鍵盤按鍵]], $K$3:$K$44,0)), "")</f>
        <v>ㆤ</v>
      </c>
      <c r="X31" s="69">
        <f t="shared" si="10"/>
        <v>29</v>
      </c>
      <c r="Y31" s="32" t="s">
        <v>87</v>
      </c>
      <c r="Z31" s="33" t="s">
        <v>88</v>
      </c>
      <c r="AA31" s="34" t="str">
        <f xml:space="preserve"> IFERROR( INDEX(表格1_334[字典編碼], MATCH($Y31, 表格1_334[方音符號], 0)), "")</f>
        <v>q</v>
      </c>
      <c r="AB31" s="34" t="str">
        <f t="shared" si="11"/>
        <v>q</v>
      </c>
      <c r="AC31" s="71" t="str">
        <f xml:space="preserve"> IFERROR( INDEX(表格1_334[鍵盤按鍵], MATCH($Y31, 表格1_334[方音符號], 0)), "")</f>
        <v>g</v>
      </c>
    </row>
    <row r="32" spans="1:29" ht="32.25">
      <c r="F32" s="2">
        <f t="shared" si="1"/>
        <v>30</v>
      </c>
      <c r="G32" s="98" t="str">
        <f t="shared" si="2"/>
        <v>U</v>
      </c>
      <c r="H32" s="98" t="str">
        <f t="shared" si="3"/>
        <v>l</v>
      </c>
      <c r="J32" s="2">
        <v>30</v>
      </c>
      <c r="K32" s="21" t="str">
        <f t="shared" si="4"/>
        <v>l</v>
      </c>
      <c r="L32" s="21" t="str">
        <f t="shared" si="5"/>
        <v>ㄠ</v>
      </c>
      <c r="N32" s="2">
        <v>30</v>
      </c>
      <c r="O32" s="22" t="str">
        <f t="shared" si="6"/>
        <v/>
      </c>
      <c r="P32" s="22" t="str">
        <f t="shared" si="7"/>
        <v/>
      </c>
      <c r="R32" s="2">
        <v>30</v>
      </c>
      <c r="S32" s="5" t="str">
        <f t="shared" si="8"/>
        <v>l</v>
      </c>
      <c r="T32" s="23" t="str">
        <f t="shared" si="9"/>
        <v>U</v>
      </c>
      <c r="U32" s="24" t="str">
        <f xml:space="preserve"> IFERROR( INDEX($L$3:$L$44, MATCH(表格1_334[[#This Row],[鍵盤按鍵]], $K$3:$K$44,0)), "")</f>
        <v>ㄠ</v>
      </c>
      <c r="X32" s="74">
        <f t="shared" si="10"/>
        <v>30</v>
      </c>
      <c r="Y32" s="26" t="s">
        <v>89</v>
      </c>
      <c r="Z32" s="27" t="s">
        <v>90</v>
      </c>
      <c r="AA32" s="28" t="str">
        <f xml:space="preserve"> IFERROR( INDEX(表格1_334[字典編碼], MATCH($Y32, 表格1_334[方音符號], 0)), "")</f>
        <v>j</v>
      </c>
      <c r="AB32" s="28" t="str">
        <f t="shared" si="11"/>
        <v>j</v>
      </c>
      <c r="AC32" s="29" t="str">
        <f xml:space="preserve"> IFERROR( INDEX(表格1_334[鍵盤按鍵], MATCH($Y32, 表格1_334[方音符號], 0)), "")</f>
        <v>r</v>
      </c>
    </row>
    <row r="33" spans="1:30" ht="32.25">
      <c r="F33" s="2">
        <f t="shared" si="1"/>
        <v>31</v>
      </c>
      <c r="G33" s="98" t="str">
        <f t="shared" si="2"/>
        <v>Y</v>
      </c>
      <c r="H33" s="98" t="str">
        <f t="shared" si="3"/>
        <v>.</v>
      </c>
      <c r="J33" s="2">
        <v>31</v>
      </c>
      <c r="K33" s="21" t="str">
        <f t="shared" si="4"/>
        <v>.</v>
      </c>
      <c r="L33" s="21" t="str">
        <f t="shared" si="5"/>
        <v>ㆲ</v>
      </c>
      <c r="N33" s="2">
        <v>31</v>
      </c>
      <c r="O33" s="22" t="str">
        <f t="shared" si="6"/>
        <v/>
      </c>
      <c r="P33" s="22" t="str">
        <f t="shared" si="7"/>
        <v/>
      </c>
      <c r="R33" s="2">
        <v>31</v>
      </c>
      <c r="S33" s="5" t="str">
        <f t="shared" si="8"/>
        <v>.</v>
      </c>
      <c r="T33" s="23" t="str">
        <f t="shared" si="9"/>
        <v>Y</v>
      </c>
      <c r="U33" s="24" t="str">
        <f xml:space="preserve"> IFERROR( INDEX($L$3:$L$44, MATCH(表格1_334[[#This Row],[鍵盤按鍵]], $K$3:$K$44,0)), "")</f>
        <v>ㆲ</v>
      </c>
      <c r="X33" s="75">
        <f t="shared" si="10"/>
        <v>31</v>
      </c>
      <c r="Y33" s="32" t="s">
        <v>91</v>
      </c>
      <c r="Z33" s="33" t="s">
        <v>92</v>
      </c>
      <c r="AA33" s="34" t="str">
        <f xml:space="preserve"> IFERROR( INDEX(表格1_334[字典編碼], MATCH($Y33, 表格1_334[方音符號], 0)), "")</f>
        <v>J</v>
      </c>
      <c r="AB33" s="34" t="str">
        <f t="shared" si="11"/>
        <v>J</v>
      </c>
      <c r="AC33" s="35" t="str">
        <f xml:space="preserve"> IFERROR( INDEX(表格1_334[鍵盤按鍵], MATCH($Y33, 表格1_334[方音符號], 0)), "")</f>
        <v>f</v>
      </c>
    </row>
    <row r="34" spans="1:30" ht="32.25">
      <c r="F34" s="2">
        <f t="shared" si="1"/>
        <v>32</v>
      </c>
      <c r="G34" s="98" t="str">
        <f t="shared" si="2"/>
        <v>L</v>
      </c>
      <c r="H34" s="98" t="str">
        <f t="shared" si="3"/>
        <v>0</v>
      </c>
      <c r="J34" s="2">
        <v>32</v>
      </c>
      <c r="K34" s="21" t="str">
        <f t="shared" si="4"/>
        <v>0</v>
      </c>
      <c r="L34" s="21" t="str">
        <f t="shared" si="5"/>
        <v>ㄢ</v>
      </c>
      <c r="N34" s="2">
        <v>32</v>
      </c>
      <c r="O34" s="22" t="str">
        <f t="shared" si="6"/>
        <v/>
      </c>
      <c r="P34" s="22" t="str">
        <f t="shared" si="7"/>
        <v/>
      </c>
      <c r="R34" s="2">
        <v>32</v>
      </c>
      <c r="S34" s="5" t="str">
        <f t="shared" si="8"/>
        <v>0</v>
      </c>
      <c r="T34" s="23" t="str">
        <f t="shared" si="9"/>
        <v>L</v>
      </c>
      <c r="U34" s="24" t="str">
        <f xml:space="preserve"> IFERROR( INDEX($L$3:$L$44, MATCH(表格1_334[[#This Row],[鍵盤按鍵]], $K$3:$K$44,0)), "")</f>
        <v>ㄢ</v>
      </c>
      <c r="X34" s="76">
        <f t="shared" si="10"/>
        <v>32</v>
      </c>
      <c r="Y34" s="42" t="s">
        <v>93</v>
      </c>
      <c r="Z34" s="43" t="s">
        <v>94</v>
      </c>
      <c r="AA34" s="44" t="str">
        <f xml:space="preserve"> IFERROR( INDEX(表格1_334[字典編碼], MATCH($Y34, 表格1_334[方音符號], 0)), "")</f>
        <v>S</v>
      </c>
      <c r="AB34" s="44" t="str">
        <f t="shared" si="11"/>
        <v>S</v>
      </c>
      <c r="AC34" s="45" t="str">
        <f xml:space="preserve"> IFERROR( INDEX(表格1_334[鍵盤按鍵], MATCH($Y34, 表格1_334[方音符號], 0)), "")</f>
        <v>v</v>
      </c>
    </row>
    <row r="35" spans="1:30" ht="32.25">
      <c r="F35" s="2">
        <f t="shared" si="1"/>
        <v>33</v>
      </c>
      <c r="G35" s="98" t="str">
        <f t="shared" si="2"/>
        <v>D</v>
      </c>
      <c r="H35" s="98" t="str">
        <f t="shared" si="3"/>
        <v>p</v>
      </c>
      <c r="J35" s="2">
        <v>33</v>
      </c>
      <c r="K35" s="21" t="str">
        <f t="shared" si="4"/>
        <v>p</v>
      </c>
      <c r="L35" s="21" t="str">
        <f t="shared" si="5"/>
        <v>ㄣ</v>
      </c>
      <c r="N35" s="2">
        <v>33</v>
      </c>
      <c r="O35" s="22" t="str">
        <f t="shared" si="6"/>
        <v/>
      </c>
      <c r="P35" s="22" t="str">
        <f t="shared" si="7"/>
        <v/>
      </c>
      <c r="R35" s="2">
        <v>33</v>
      </c>
      <c r="S35" s="5" t="str">
        <f t="shared" si="8"/>
        <v>p</v>
      </c>
      <c r="T35" s="23" t="str">
        <f t="shared" si="9"/>
        <v>D</v>
      </c>
      <c r="U35" s="24" t="str">
        <f xml:space="preserve"> IFERROR( INDEX($L$3:$L$44, MATCH(表格1_334[[#This Row],[鍵盤按鍵]], $K$3:$K$44,0)), "")</f>
        <v>ㄣ</v>
      </c>
      <c r="X35" s="77">
        <f t="shared" si="10"/>
        <v>33</v>
      </c>
      <c r="Y35" s="32" t="s">
        <v>95</v>
      </c>
      <c r="Z35" s="33" t="s">
        <v>96</v>
      </c>
      <c r="AA35" s="34" t="str">
        <f xml:space="preserve"> IFERROR( INDEX(表格1_334[字典編碼], MATCH($Y35, 表格1_334[方音符號], 0)), "")</f>
        <v>Q</v>
      </c>
      <c r="AB35" s="34" t="str">
        <f t="shared" si="11"/>
        <v>Q</v>
      </c>
      <c r="AC35" s="35" t="str">
        <f xml:space="preserve"> IFERROR( INDEX(表格1_334[鍵盤按鍵], MATCH($Y35, 表格1_334[方音符號], 0)), "")</f>
        <v>;</v>
      </c>
    </row>
    <row r="36" spans="1:30" ht="32.25">
      <c r="F36" s="2">
        <f t="shared" si="1"/>
        <v>34</v>
      </c>
      <c r="G36" s="98" t="str">
        <f t="shared" si="2"/>
        <v>Q</v>
      </c>
      <c r="H36" s="98" t="str">
        <f t="shared" si="3"/>
        <v>;</v>
      </c>
      <c r="J36" s="2">
        <v>34</v>
      </c>
      <c r="K36" s="21" t="str">
        <f t="shared" si="4"/>
        <v>;</v>
      </c>
      <c r="L36" s="21" t="str">
        <f t="shared" si="5"/>
        <v>ㄤ</v>
      </c>
      <c r="N36" s="2">
        <v>34</v>
      </c>
      <c r="O36" s="22" t="str">
        <f t="shared" si="6"/>
        <v/>
      </c>
      <c r="P36" s="22" t="str">
        <f t="shared" si="7"/>
        <v/>
      </c>
      <c r="R36" s="2">
        <v>34</v>
      </c>
      <c r="S36" s="5" t="str">
        <f t="shared" si="8"/>
        <v>;</v>
      </c>
      <c r="T36" s="23" t="str">
        <f t="shared" si="9"/>
        <v>Q</v>
      </c>
      <c r="U36" s="24" t="str">
        <f xml:space="preserve"> IFERROR( INDEX($L$3:$L$44, MATCH(表格1_334[[#This Row],[鍵盤按鍵]], $K$3:$K$44,0)), "")</f>
        <v>ㄤ</v>
      </c>
      <c r="X36" s="77">
        <f t="shared" si="10"/>
        <v>34</v>
      </c>
      <c r="Y36" s="32" t="s">
        <v>97</v>
      </c>
      <c r="Z36" s="33" t="s">
        <v>98</v>
      </c>
      <c r="AA36" s="34" t="str">
        <f xml:space="preserve"> IFERROR( INDEX(表格1_334[字典編碼], MATCH($Y36, 表格1_334[方音符號], 0)), "")</f>
        <v>L</v>
      </c>
      <c r="AB36" s="34" t="str">
        <f t="shared" si="11"/>
        <v>L</v>
      </c>
      <c r="AC36" s="35" t="str">
        <f xml:space="preserve"> IFERROR( INDEX(表格1_334[鍵盤按鍵], MATCH($Y36, 表格1_334[方音符號], 0)), "")</f>
        <v>0</v>
      </c>
    </row>
    <row r="37" spans="1:30" ht="32.25">
      <c r="F37" s="2">
        <f t="shared" si="1"/>
        <v>35</v>
      </c>
      <c r="G37" s="98" t="str">
        <f t="shared" si="2"/>
        <v>G</v>
      </c>
      <c r="H37" s="98" t="str">
        <f t="shared" si="3"/>
        <v>/</v>
      </c>
      <c r="J37" s="2">
        <v>35</v>
      </c>
      <c r="K37" s="21" t="str">
        <f t="shared" si="4"/>
        <v>/</v>
      </c>
      <c r="L37" s="21" t="str">
        <f t="shared" si="5"/>
        <v>ㆭ</v>
      </c>
      <c r="N37" s="2">
        <v>35</v>
      </c>
      <c r="O37" s="22" t="str">
        <f t="shared" si="6"/>
        <v/>
      </c>
      <c r="P37" s="22" t="str">
        <f t="shared" si="7"/>
        <v/>
      </c>
      <c r="R37" s="2">
        <v>35</v>
      </c>
      <c r="S37" s="5" t="str">
        <f t="shared" si="8"/>
        <v>/</v>
      </c>
      <c r="T37" s="23" t="str">
        <f t="shared" si="9"/>
        <v>G</v>
      </c>
      <c r="U37" s="24" t="str">
        <f xml:space="preserve"> IFERROR( INDEX($L$3:$L$44, MATCH(表格1_334[[#This Row],[鍵盤按鍵]], $K$3:$K$44,0)), "")</f>
        <v>ㆭ</v>
      </c>
      <c r="X37" s="77">
        <f t="shared" si="10"/>
        <v>35</v>
      </c>
      <c r="Y37" s="32" t="s">
        <v>99</v>
      </c>
      <c r="Z37" s="33" t="s">
        <v>100</v>
      </c>
      <c r="AA37" s="34" t="str">
        <f xml:space="preserve"> IFERROR( INDEX(表格1_334[字典編碼], MATCH($Y37, 表格1_334[方音符號], 0)), "")</f>
        <v>M</v>
      </c>
      <c r="AB37" s="34" t="str">
        <f t="shared" si="11"/>
        <v>M</v>
      </c>
      <c r="AC37" s="35" t="str">
        <f xml:space="preserve"> IFERROR( INDEX(表格1_334[鍵盤按鍵], MATCH($Y37, 表格1_334[方音符號], 0)), "")</f>
        <v>,</v>
      </c>
    </row>
    <row r="38" spans="1:30" ht="32.25">
      <c r="F38" s="2">
        <f t="shared" si="1"/>
        <v>36</v>
      </c>
      <c r="G38" s="98" t="str">
        <f t="shared" si="2"/>
        <v>N</v>
      </c>
      <c r="H38" s="98" t="str">
        <f t="shared" si="3"/>
        <v>-</v>
      </c>
      <c r="J38" s="2">
        <v>36</v>
      </c>
      <c r="K38" s="21" t="str">
        <f t="shared" si="4"/>
        <v>-</v>
      </c>
      <c r="L38" s="21" t="str">
        <f t="shared" si="5"/>
        <v>ｎ</v>
      </c>
      <c r="N38" s="2">
        <v>36</v>
      </c>
      <c r="O38" s="22" t="str">
        <f t="shared" si="6"/>
        <v/>
      </c>
      <c r="P38" s="22" t="str">
        <f t="shared" si="7"/>
        <v/>
      </c>
      <c r="R38" s="2">
        <v>36</v>
      </c>
      <c r="S38" s="5" t="str">
        <f t="shared" si="8"/>
        <v>-</v>
      </c>
      <c r="T38" s="23" t="str">
        <f t="shared" si="9"/>
        <v>N</v>
      </c>
      <c r="U38" s="24" t="str">
        <f xml:space="preserve"> IFERROR( INDEX($L$3:$L$44, MATCH(表格1_334[[#This Row],[鍵盤按鍵]], $K$3:$K$44,0)), "")</f>
        <v>ｎ</v>
      </c>
      <c r="X38" s="78">
        <f t="shared" si="10"/>
        <v>36</v>
      </c>
      <c r="Y38" s="42" t="s">
        <v>101</v>
      </c>
      <c r="Z38" s="43" t="s">
        <v>102</v>
      </c>
      <c r="AA38" s="44" t="str">
        <f xml:space="preserve"> IFERROR( INDEX(表格1_334[字典編碼], MATCH($Y38, 表格1_334[方音符號], 0)), "")</f>
        <v>Y</v>
      </c>
      <c r="AB38" s="44" t="str">
        <f t="shared" si="11"/>
        <v>Y</v>
      </c>
      <c r="AC38" s="45" t="str">
        <f xml:space="preserve"> IFERROR( INDEX(表格1_334[鍵盤按鍵], MATCH($Y38, 表格1_334[方音符號], 0)), "")</f>
        <v>.</v>
      </c>
    </row>
    <row r="39" spans="1:30" ht="32.25">
      <c r="F39" s="2">
        <f t="shared" si="1"/>
        <v>37</v>
      </c>
      <c r="G39" s="98" t="str">
        <f t="shared" si="2"/>
        <v>1</v>
      </c>
      <c r="H39" s="98" t="str">
        <f t="shared" si="3"/>
        <v xml:space="preserve"> </v>
      </c>
      <c r="J39" s="2">
        <v>37</v>
      </c>
      <c r="K39" s="21" t="str">
        <f t="shared" si="4"/>
        <v>4</v>
      </c>
      <c r="L39" s="21" t="str">
        <f t="shared" si="5"/>
        <v>ˋ</v>
      </c>
      <c r="N39" s="2">
        <v>37</v>
      </c>
      <c r="O39" s="22" t="str">
        <f t="shared" si="6"/>
        <v/>
      </c>
      <c r="P39" s="22" t="str">
        <f t="shared" si="7"/>
        <v/>
      </c>
      <c r="R39" s="2">
        <v>37</v>
      </c>
      <c r="S39" s="79" t="str">
        <f t="shared" si="8"/>
        <v xml:space="preserve"> </v>
      </c>
      <c r="T39" s="80" t="str">
        <f t="shared" si="9"/>
        <v>1</v>
      </c>
      <c r="U39" s="81" t="str">
        <f xml:space="preserve"> IFERROR( INDEX($L$3:$L$44, MATCH(表格1_334[[#This Row],[鍵盤按鍵]], $K$3:$K$44,0)), "")</f>
        <v/>
      </c>
      <c r="X39" s="82">
        <f t="shared" si="10"/>
        <v>37</v>
      </c>
      <c r="Y39" s="83" t="s">
        <v>103</v>
      </c>
      <c r="Z39" s="84">
        <v>1</v>
      </c>
      <c r="AA39" s="85">
        <v>1</v>
      </c>
      <c r="AB39" s="85">
        <f t="shared" si="11"/>
        <v>1</v>
      </c>
      <c r="AC39" s="86" t="s">
        <v>251</v>
      </c>
    </row>
    <row r="40" spans="1:30" ht="32.25">
      <c r="F40" s="2">
        <f t="shared" si="1"/>
        <v>38</v>
      </c>
      <c r="G40" s="98" t="str">
        <f t="shared" si="2"/>
        <v>2</v>
      </c>
      <c r="H40" s="98" t="str">
        <f t="shared" si="3"/>
        <v>4</v>
      </c>
      <c r="J40" s="2">
        <v>38</v>
      </c>
      <c r="K40" s="21" t="str">
        <f t="shared" si="4"/>
        <v>3</v>
      </c>
      <c r="L40" s="21" t="str">
        <f t="shared" si="5"/>
        <v>˪</v>
      </c>
      <c r="N40" s="2">
        <v>38</v>
      </c>
      <c r="O40" s="22" t="str">
        <f t="shared" si="6"/>
        <v/>
      </c>
      <c r="P40" s="22" t="str">
        <f t="shared" si="7"/>
        <v/>
      </c>
      <c r="R40" s="2">
        <v>38</v>
      </c>
      <c r="S40" s="5" t="str">
        <f t="shared" si="8"/>
        <v>4</v>
      </c>
      <c r="T40" s="23" t="str">
        <f t="shared" si="9"/>
        <v>2</v>
      </c>
      <c r="U40" s="24" t="str">
        <f xml:space="preserve"> IFERROR( INDEX($L$3:$L$44, MATCH(表格1_334[[#This Row],[鍵盤按鍵]], $K$3:$K$44,0)), "")</f>
        <v>ˋ</v>
      </c>
      <c r="X40" s="87">
        <f t="shared" si="10"/>
        <v>38</v>
      </c>
      <c r="Y40" s="26" t="s">
        <v>104</v>
      </c>
      <c r="Z40" s="27">
        <v>2</v>
      </c>
      <c r="AA40" s="28" t="str">
        <f xml:space="preserve"> IFERROR( INDEX(表格1_334[字典編碼], MATCH($Y40, 表格1_334[方音符號], 0)), "")</f>
        <v>2</v>
      </c>
      <c r="AB40" s="28" t="str">
        <f t="shared" si="11"/>
        <v>2</v>
      </c>
      <c r="AC40" s="29" t="str">
        <f xml:space="preserve"> IFERROR( INDEX(表格1_334[鍵盤按鍵], MATCH($Y40, 表格1_334[方音符號], 0)), "")</f>
        <v>4</v>
      </c>
    </row>
    <row r="41" spans="1:30" ht="32.25">
      <c r="F41" s="2">
        <f t="shared" si="1"/>
        <v>39</v>
      </c>
      <c r="G41" s="98" t="str">
        <f t="shared" si="2"/>
        <v>3</v>
      </c>
      <c r="H41" s="98" t="str">
        <f t="shared" si="3"/>
        <v>3</v>
      </c>
      <c r="J41" s="2">
        <v>39</v>
      </c>
      <c r="K41" s="21" t="str">
        <f t="shared" si="4"/>
        <v>6</v>
      </c>
      <c r="L41" s="21" t="str">
        <f t="shared" si="5"/>
        <v>ˊ</v>
      </c>
      <c r="N41" s="2">
        <v>39</v>
      </c>
      <c r="O41" s="22" t="str">
        <f t="shared" si="6"/>
        <v/>
      </c>
      <c r="P41" s="22" t="str">
        <f t="shared" si="7"/>
        <v/>
      </c>
      <c r="R41" s="2">
        <v>39</v>
      </c>
      <c r="S41" s="5" t="str">
        <f t="shared" si="8"/>
        <v>3</v>
      </c>
      <c r="T41" s="23" t="str">
        <f t="shared" si="9"/>
        <v>3</v>
      </c>
      <c r="U41" s="24" t="str">
        <f xml:space="preserve"> IFERROR( INDEX($L$3:$L$44, MATCH(表格1_334[[#This Row],[鍵盤按鍵]], $K$3:$K$44,0)), "")</f>
        <v>˪</v>
      </c>
      <c r="X41" s="77">
        <f t="shared" si="10"/>
        <v>39</v>
      </c>
      <c r="Y41" s="32" t="s">
        <v>105</v>
      </c>
      <c r="Z41" s="33">
        <v>3</v>
      </c>
      <c r="AA41" s="34" t="str">
        <f xml:space="preserve"> IFERROR( INDEX(表格1_334[字典編碼], MATCH($Y41, 表格1_334[方音符號], 0)), "")</f>
        <v>3</v>
      </c>
      <c r="AB41" s="34" t="str">
        <f t="shared" si="11"/>
        <v>3</v>
      </c>
      <c r="AC41" s="35" t="str">
        <f xml:space="preserve"> IFERROR( INDEX(表格1_334[鍵盤按鍵], MATCH($Y41, 表格1_334[方音符號], 0)), "")</f>
        <v>3</v>
      </c>
    </row>
    <row r="42" spans="1:30" ht="32.25">
      <c r="F42" s="2">
        <f t="shared" si="1"/>
        <v>40</v>
      </c>
      <c r="G42" s="98" t="str">
        <f t="shared" si="2"/>
        <v>5</v>
      </c>
      <c r="H42" s="98" t="str">
        <f t="shared" si="3"/>
        <v>6</v>
      </c>
      <c r="J42" s="2">
        <v>40</v>
      </c>
      <c r="K42" s="21" t="str">
        <f t="shared" si="4"/>
        <v>5</v>
      </c>
      <c r="L42" s="21" t="str">
        <f t="shared" si="5"/>
        <v>˫</v>
      </c>
      <c r="N42" s="2">
        <v>40</v>
      </c>
      <c r="O42" s="22" t="str">
        <f t="shared" si="6"/>
        <v/>
      </c>
      <c r="P42" s="22" t="str">
        <f t="shared" si="7"/>
        <v/>
      </c>
      <c r="R42" s="2">
        <v>40</v>
      </c>
      <c r="S42" s="5" t="str">
        <f t="shared" si="8"/>
        <v>6</v>
      </c>
      <c r="T42" s="23" t="str">
        <f t="shared" si="9"/>
        <v>5</v>
      </c>
      <c r="U42" s="24" t="str">
        <f xml:space="preserve"> IFERROR( INDEX($L$3:$L$44, MATCH(表格1_334[[#This Row],[鍵盤按鍵]], $K$3:$K$44,0)), "")</f>
        <v>ˊ</v>
      </c>
      <c r="X42" s="77">
        <f t="shared" si="10"/>
        <v>40</v>
      </c>
      <c r="Y42" s="32" t="s">
        <v>106</v>
      </c>
      <c r="Z42" s="33">
        <v>5</v>
      </c>
      <c r="AA42" s="34" t="str">
        <f xml:space="preserve"> IFERROR( INDEX(表格1_334[字典編碼], MATCH($Y42, 表格1_334[方音符號], 0)), "")</f>
        <v>5</v>
      </c>
      <c r="AB42" s="34" t="str">
        <f t="shared" si="11"/>
        <v>5</v>
      </c>
      <c r="AC42" s="35" t="str">
        <f xml:space="preserve"> IFERROR( INDEX(表格1_334[鍵盤按鍵], MATCH($Y42, 表格1_334[方音符號], 0)), "")</f>
        <v>6</v>
      </c>
    </row>
    <row r="43" spans="1:30" ht="32.25">
      <c r="F43" s="2">
        <f t="shared" si="1"/>
        <v>41</v>
      </c>
      <c r="G43" s="98" t="str">
        <f t="shared" si="2"/>
        <v>7</v>
      </c>
      <c r="H43" s="98" t="str">
        <f t="shared" si="3"/>
        <v>5</v>
      </c>
      <c r="J43" s="2">
        <v>41</v>
      </c>
      <c r="K43" s="21" t="str">
        <f t="shared" si="4"/>
        <v>7</v>
      </c>
      <c r="L43" s="21" t="str">
        <f t="shared" si="5"/>
        <v>．</v>
      </c>
      <c r="N43" s="2">
        <v>41</v>
      </c>
      <c r="O43" s="22" t="str">
        <f t="shared" si="6"/>
        <v/>
      </c>
      <c r="P43" s="22" t="str">
        <f t="shared" si="7"/>
        <v/>
      </c>
      <c r="R43" s="2">
        <v>41</v>
      </c>
      <c r="S43" s="5" t="str">
        <f t="shared" si="8"/>
        <v>5</v>
      </c>
      <c r="T43" s="23" t="str">
        <f t="shared" si="9"/>
        <v>7</v>
      </c>
      <c r="U43" s="24" t="str">
        <f xml:space="preserve"> IFERROR( INDEX($L$3:$L$44, MATCH(表格1_334[[#This Row],[鍵盤按鍵]], $K$3:$K$44,0)), "")</f>
        <v>˫</v>
      </c>
      <c r="X43" s="77">
        <f t="shared" si="10"/>
        <v>41</v>
      </c>
      <c r="Y43" s="32" t="s">
        <v>107</v>
      </c>
      <c r="Z43" s="33">
        <v>7</v>
      </c>
      <c r="AA43" s="34" t="str">
        <f xml:space="preserve"> IFERROR( INDEX(表格1_334[字典編碼], MATCH($Y43, 表格1_334[方音符號], 0)), "")</f>
        <v>7</v>
      </c>
      <c r="AB43" s="34" t="str">
        <f t="shared" si="11"/>
        <v>7</v>
      </c>
      <c r="AC43" s="35" t="str">
        <f xml:space="preserve"> IFERROR( INDEX(表格1_334[鍵盤按鍵], MATCH($Y43, 表格1_334[方音符號], 0)), "")</f>
        <v>5</v>
      </c>
      <c r="AD43" s="88"/>
    </row>
    <row r="44" spans="1:30" ht="32.25">
      <c r="F44" s="2">
        <f t="shared" si="1"/>
        <v>42</v>
      </c>
      <c r="G44" s="98" t="str">
        <f t="shared" si="2"/>
        <v>0</v>
      </c>
      <c r="H44" s="98" t="str">
        <f t="shared" si="3"/>
        <v>7</v>
      </c>
      <c r="J44" s="2">
        <v>42</v>
      </c>
      <c r="K44" s="21" t="str">
        <f t="shared" si="4"/>
        <v/>
      </c>
      <c r="L44" s="21" t="str">
        <f t="shared" si="5"/>
        <v/>
      </c>
      <c r="N44" s="2">
        <v>42</v>
      </c>
      <c r="O44" s="22" t="str">
        <f t="shared" si="6"/>
        <v/>
      </c>
      <c r="P44" s="22" t="str">
        <f t="shared" si="7"/>
        <v/>
      </c>
      <c r="R44" s="2">
        <v>42</v>
      </c>
      <c r="S44" s="5" t="str">
        <f t="shared" si="8"/>
        <v>7</v>
      </c>
      <c r="T44" s="23" t="str">
        <f t="shared" si="9"/>
        <v>0</v>
      </c>
      <c r="U44" s="24" t="str">
        <f xml:space="preserve"> IFERROR( INDEX($L$3:$L$44, MATCH(表格1_334[[#This Row],[鍵盤按鍵]], $K$3:$K$44,0)), "")</f>
        <v>．</v>
      </c>
      <c r="X44" s="78">
        <f t="shared" si="10"/>
        <v>42</v>
      </c>
      <c r="Y44" s="42" t="s">
        <v>108</v>
      </c>
      <c r="Z44" s="43">
        <v>8</v>
      </c>
      <c r="AA44" s="44">
        <v>0</v>
      </c>
      <c r="AB44" s="44">
        <f t="shared" si="11"/>
        <v>0</v>
      </c>
      <c r="AC44" s="45">
        <v>7</v>
      </c>
    </row>
    <row r="45" spans="1:30" ht="32.25">
      <c r="P45" s="2"/>
      <c r="X45" s="89">
        <f t="shared" si="10"/>
        <v>43</v>
      </c>
      <c r="Y45" s="56" t="s">
        <v>109</v>
      </c>
      <c r="Z45" s="57" t="s">
        <v>110</v>
      </c>
      <c r="AA45" s="58" t="str">
        <f xml:space="preserve"> IFERROR( INDEX(表格1_334[字典編碼], MATCH($Y45, 表格1_334[方音符號], 0)), "")</f>
        <v/>
      </c>
      <c r="AB45" s="58"/>
      <c r="AC45" s="59" t="str">
        <f xml:space="preserve"> IFERROR( INDEX(表格1_334[鍵盤按鍵], MATCH($Y45, 表格1_334[方音符號], 0)), "")</f>
        <v/>
      </c>
    </row>
    <row r="46" spans="1:30" ht="32.25">
      <c r="A46" s="92" t="s">
        <v>138</v>
      </c>
      <c r="C46" s="17" t="s">
        <v>8</v>
      </c>
      <c r="D46" s="17" t="s">
        <v>15</v>
      </c>
      <c r="E46" s="17" t="s">
        <v>17</v>
      </c>
      <c r="U46" s="90" t="str">
        <f xml:space="preserve"> _xlfn.CONCAT(T3:T38, T40:T44)</f>
        <v>pPmbtTndkKhjJSgqzcCsiuBaoøMIeUYLDQGN23570</v>
      </c>
      <c r="X46" s="87">
        <f t="shared" si="10"/>
        <v>44</v>
      </c>
      <c r="Y46" s="26" t="s">
        <v>111</v>
      </c>
      <c r="Z46" s="27" t="s">
        <v>112</v>
      </c>
      <c r="AA46" s="28" t="str">
        <f xml:space="preserve"> IFERROR( INDEX(表格1_334[字典編碼], MATCH($Y46, 表格1_334[方音符號], 0)), "")</f>
        <v/>
      </c>
      <c r="AB46" s="28"/>
      <c r="AC46" s="29" t="str">
        <f xml:space="preserve"> IFERROR( INDEX(表格1_334[鍵盤按鍵], MATCH($Y46, 表格1_334[方音符號], 0)), "")</f>
        <v/>
      </c>
    </row>
    <row r="47" spans="1:30" ht="32.25">
      <c r="A47" s="93" t="s">
        <v>136</v>
      </c>
      <c r="B47" s="2">
        <v>1</v>
      </c>
      <c r="C47" s="21" t="str">
        <f t="shared" ref="C47:C88" si="12" xml:space="preserve"> MID($A$47, $B47, 1)</f>
        <v>1</v>
      </c>
      <c r="D47" s="5" t="str">
        <f t="shared" ref="D47:D88" si="13" xml:space="preserve"> IFERROR( INDEX($L$3:$L$44, MATCH(C47, $K$3:$K$44, 0)), "")</f>
        <v>ㄅ</v>
      </c>
      <c r="E47" s="5" t="str">
        <f t="shared" ref="E47:E88" si="14" xml:space="preserve"> IFERROR( INDEX($G$3:$G$44, MATCH($C47, $H$3:$H$44, 0)), "")</f>
        <v>p</v>
      </c>
      <c r="U47" s="90" t="str">
        <f xml:space="preserve"> _xlfn.CONCAT(U3:U38, U40:U44)</f>
        <v>ㄅㄆㄇㆠㄉㄊㄋㄌㄍㄎㄏㄐㄑㄒㆣㄫㆡㄗㄘㄙㄧㄨㆬㄚㆦㄜㆰㄞㆤㄠㆲㄢㄣㄤㆭｎˋ˪ˊ˫．</v>
      </c>
      <c r="X47" s="77">
        <f t="shared" si="10"/>
        <v>45</v>
      </c>
      <c r="Y47" s="32" t="s">
        <v>113</v>
      </c>
      <c r="Z47" s="33" t="s">
        <v>114</v>
      </c>
      <c r="AA47" s="34" t="str">
        <f xml:space="preserve"> IFERROR( INDEX(表格1_334[字典編碼], MATCH($Y47, 表格1_334[方音符號], 0)), "")</f>
        <v/>
      </c>
      <c r="AB47" s="34"/>
      <c r="AC47" s="35" t="str">
        <f xml:space="preserve"> IFERROR( INDEX(表格1_334[鍵盤按鍵], MATCH($Y47, 表格1_334[方音符號], 0)), "")</f>
        <v/>
      </c>
    </row>
    <row r="48" spans="1:30" ht="32.25">
      <c r="A48" s="40" t="str">
        <f xml:space="preserve"> _xlfn.CONCAT(鍵盤位置)</f>
        <v>1qaz2wsxedcrfvtgbyhnujm8ik,9ol.0p;/- 43657</v>
      </c>
      <c r="B48" s="2">
        <v>2</v>
      </c>
      <c r="C48" s="21" t="str">
        <f t="shared" si="12"/>
        <v>q</v>
      </c>
      <c r="D48" s="5" t="str">
        <f t="shared" si="13"/>
        <v>ㄆ</v>
      </c>
      <c r="E48" s="5" t="str">
        <f t="shared" si="14"/>
        <v>P</v>
      </c>
      <c r="S48" s="91" t="str">
        <f xml:space="preserve"> "xlit|" &amp; U46 &amp; "|" &amp; U47 &amp; "|"</f>
        <v>xlit|pPmbtTndkKhjJSgqzcCsiuBaoøMIeUYLDQGN23570|ㄅㄆㄇㆠㄉㄊㄋㄌㄍㄎㄏㄐㄑㄒㆣㄫㆡㄗㄘㄙㄧㄨㆬㄚㆦㄜㆰㄞㆤㄠㆲㄢㄣㄤㆭｎˋ˪ˊ˫．|</v>
      </c>
      <c r="X48" s="77">
        <f t="shared" si="10"/>
        <v>46</v>
      </c>
      <c r="Y48" s="32" t="s">
        <v>115</v>
      </c>
      <c r="Z48" s="33" t="s">
        <v>116</v>
      </c>
      <c r="AA48" s="34" t="str">
        <f xml:space="preserve"> IFERROR( INDEX(表格1_334[字典編碼], MATCH($Y48, 表格1_334[方音符號], 0)), "")</f>
        <v/>
      </c>
      <c r="AB48" s="34"/>
      <c r="AC48" s="35" t="str">
        <f xml:space="preserve"> IFERROR( INDEX(表格1_334[鍵盤按鍵], MATCH($Y48, 表格1_334[方音符號], 0)), "")</f>
        <v/>
      </c>
    </row>
    <row r="49" spans="1:47" ht="32.25">
      <c r="B49" s="2">
        <v>3</v>
      </c>
      <c r="C49" s="21" t="str">
        <f t="shared" si="12"/>
        <v>a</v>
      </c>
      <c r="D49" s="5" t="str">
        <f t="shared" si="13"/>
        <v>ㄇ</v>
      </c>
      <c r="E49" s="5" t="str">
        <f t="shared" si="14"/>
        <v>m</v>
      </c>
      <c r="G49" s="2"/>
      <c r="H49" s="2"/>
      <c r="X49" s="77">
        <f t="shared" si="10"/>
        <v>47</v>
      </c>
      <c r="Y49" s="32" t="s">
        <v>117</v>
      </c>
      <c r="Z49" s="33" t="s">
        <v>118</v>
      </c>
      <c r="AA49" s="34" t="str">
        <f xml:space="preserve"> IFERROR( INDEX(表格1_334[字典編碼], MATCH($Y49, 表格1_334[方音符號], 0)), "")</f>
        <v/>
      </c>
      <c r="AB49" s="34"/>
      <c r="AC49" s="35" t="str">
        <f xml:space="preserve"> IFERROR( INDEX(表格1_334[鍵盤按鍵], MATCH($Y49, 表格1_334[方音符號], 0)), "")</f>
        <v/>
      </c>
    </row>
    <row r="50" spans="1:47" ht="32.25">
      <c r="B50" s="2">
        <v>4</v>
      </c>
      <c r="C50" s="21" t="str">
        <f t="shared" si="12"/>
        <v>z</v>
      </c>
      <c r="D50" s="5" t="str">
        <f t="shared" si="13"/>
        <v>ㆠ</v>
      </c>
      <c r="E50" s="5" t="str">
        <f t="shared" si="14"/>
        <v>b</v>
      </c>
      <c r="G50" s="2"/>
      <c r="H50" s="2"/>
      <c r="X50" s="77">
        <f t="shared" si="10"/>
        <v>48</v>
      </c>
      <c r="Y50" s="32" t="s">
        <v>119</v>
      </c>
      <c r="Z50" s="33" t="s">
        <v>120</v>
      </c>
      <c r="AA50" s="34" t="str">
        <f xml:space="preserve"> IFERROR( INDEX(表格1_334[字典編碼], MATCH($Y50, 表格1_334[方音符號], 0)), "")</f>
        <v/>
      </c>
      <c r="AB50" s="34"/>
      <c r="AC50" s="35" t="str">
        <f xml:space="preserve"> IFERROR( INDEX(表格1_334[鍵盤按鍵], MATCH($Y50, 表格1_334[方音符號], 0)), "")</f>
        <v/>
      </c>
    </row>
    <row r="51" spans="1:47" ht="32.25">
      <c r="A51" s="92" t="s">
        <v>139</v>
      </c>
      <c r="B51" s="2">
        <v>5</v>
      </c>
      <c r="C51" s="21" t="str">
        <f t="shared" si="12"/>
        <v>2</v>
      </c>
      <c r="D51" s="5" t="str">
        <f t="shared" si="13"/>
        <v>ㄉ</v>
      </c>
      <c r="E51" s="5" t="str">
        <f t="shared" si="14"/>
        <v>t</v>
      </c>
      <c r="G51" s="2"/>
      <c r="H51" s="2"/>
      <c r="X51" s="78">
        <f t="shared" si="10"/>
        <v>49</v>
      </c>
      <c r="Y51" s="42" t="s">
        <v>121</v>
      </c>
      <c r="Z51" s="43" t="s">
        <v>122</v>
      </c>
      <c r="AA51" s="44" t="str">
        <f xml:space="preserve"> IFERROR( INDEX(表格1_334[字典編碼], MATCH($Y51, 表格1_334[方音符號], 0)), "")</f>
        <v/>
      </c>
      <c r="AB51" s="44"/>
      <c r="AC51" s="45" t="str">
        <f xml:space="preserve"> IFERROR( INDEX(表格1_334[鍵盤按鍵], MATCH($Y51, 表格1_334[方音符號], 0)), "")</f>
        <v/>
      </c>
    </row>
    <row r="52" spans="1:47" ht="32.25">
      <c r="A52" s="93" t="s">
        <v>137</v>
      </c>
      <c r="B52" s="2">
        <v>6</v>
      </c>
      <c r="C52" s="21" t="str">
        <f t="shared" si="12"/>
        <v>w</v>
      </c>
      <c r="D52" s="5" t="str">
        <f t="shared" si="13"/>
        <v>ㄊ</v>
      </c>
      <c r="E52" s="5" t="str">
        <f t="shared" si="14"/>
        <v>T</v>
      </c>
      <c r="G52" s="2"/>
      <c r="H52" s="2"/>
      <c r="J52" s="4"/>
      <c r="K52" s="3"/>
      <c r="L52" s="2"/>
      <c r="O52" s="5"/>
      <c r="P52" s="2"/>
      <c r="X52" s="87">
        <f t="shared" si="10"/>
        <v>50</v>
      </c>
      <c r="Y52" s="26" t="s">
        <v>123</v>
      </c>
      <c r="Z52" s="27" t="s">
        <v>124</v>
      </c>
      <c r="AA52" s="28" t="str">
        <f xml:space="preserve"> IFERROR( INDEX(表格1_334[字典編碼], MATCH($Y52, 表格1_334[方音符號], 0)), "")</f>
        <v/>
      </c>
      <c r="AB52" s="28"/>
      <c r="AC52" s="29" t="str">
        <f xml:space="preserve"> IFERROR( INDEX(表格1_334[鍵盤按鍵], MATCH($Y52, 表格1_334[方音符號], 0)), "")</f>
        <v/>
      </c>
    </row>
    <row r="53" spans="1:47" ht="32.25">
      <c r="B53" s="2">
        <v>7</v>
      </c>
      <c r="C53" s="21" t="str">
        <f t="shared" si="12"/>
        <v>s</v>
      </c>
      <c r="D53" s="5" t="str">
        <f t="shared" si="13"/>
        <v>ㄋ</v>
      </c>
      <c r="E53" s="5" t="str">
        <f t="shared" si="14"/>
        <v>n</v>
      </c>
      <c r="G53" s="2"/>
      <c r="H53" s="2"/>
      <c r="J53" s="4"/>
      <c r="K53" s="3"/>
      <c r="L53" s="2"/>
      <c r="O53" s="5"/>
      <c r="P53" s="2"/>
      <c r="X53" s="78">
        <f t="shared" si="10"/>
        <v>51</v>
      </c>
      <c r="Y53" s="42" t="s">
        <v>125</v>
      </c>
      <c r="Z53" s="43" t="s">
        <v>126</v>
      </c>
      <c r="AA53" s="44" t="str">
        <f xml:space="preserve"> IFERROR( INDEX(表格1_334[字典編碼], MATCH($Y53, 表格1_334[方音符號], 0)), "")</f>
        <v/>
      </c>
      <c r="AB53" s="44"/>
      <c r="AC53" s="45" t="str">
        <f xml:space="preserve"> IFERROR( INDEX(表格1_334[鍵盤按鍵], MATCH($Y53, 表格1_334[方音符號], 0)), "")</f>
        <v/>
      </c>
    </row>
    <row r="54" spans="1:47" ht="32.25">
      <c r="B54" s="2">
        <v>8</v>
      </c>
      <c r="C54" s="21" t="str">
        <f t="shared" si="12"/>
        <v>x</v>
      </c>
      <c r="D54" s="5" t="str">
        <f t="shared" si="13"/>
        <v>ㄌ</v>
      </c>
      <c r="E54" s="5" t="str">
        <f t="shared" si="14"/>
        <v>d</v>
      </c>
      <c r="G54" s="2"/>
      <c r="H54" s="2"/>
      <c r="J54" s="4"/>
      <c r="K54" s="3"/>
      <c r="L54" s="2"/>
      <c r="O54" s="5"/>
      <c r="P54" s="2"/>
      <c r="X54" s="87">
        <f t="shared" si="10"/>
        <v>52</v>
      </c>
      <c r="Y54" s="26" t="s">
        <v>127</v>
      </c>
      <c r="Z54" s="65" t="s">
        <v>75</v>
      </c>
      <c r="AA54" s="28" t="str">
        <f xml:space="preserve"> IFERROR( INDEX(表格1_334[字典編碼], MATCH($Y54, 表格1_334[方音符號], 0)), "")</f>
        <v/>
      </c>
      <c r="AB54" s="28"/>
      <c r="AC54" s="29" t="str">
        <f xml:space="preserve"> IFERROR( INDEX(表格1_334[鍵盤按鍵], MATCH($Y54, 表格1_334[方音符號], 0)), "")</f>
        <v/>
      </c>
    </row>
    <row r="55" spans="1:47" ht="32.25">
      <c r="B55" s="2">
        <v>9</v>
      </c>
      <c r="C55" s="21" t="str">
        <f t="shared" si="12"/>
        <v>e</v>
      </c>
      <c r="D55" s="5" t="str">
        <f t="shared" si="13"/>
        <v>ㄍ</v>
      </c>
      <c r="E55" s="5" t="str">
        <f t="shared" si="14"/>
        <v>k</v>
      </c>
      <c r="G55" s="2"/>
      <c r="H55" s="2"/>
      <c r="J55" s="4"/>
      <c r="K55" s="3"/>
      <c r="L55" s="2"/>
      <c r="O55" s="5"/>
      <c r="P55" s="2"/>
      <c r="X55" s="77">
        <f t="shared" si="10"/>
        <v>53</v>
      </c>
      <c r="Y55" s="32" t="s">
        <v>128</v>
      </c>
      <c r="Z55" s="66" t="s">
        <v>129</v>
      </c>
      <c r="AA55" s="34" t="str">
        <f xml:space="preserve"> IFERROR( INDEX(表格1_334[字典編碼], MATCH($Y55, 表格1_334[方音符號], 0)), "")</f>
        <v/>
      </c>
      <c r="AB55" s="34"/>
      <c r="AC55" s="35" t="str">
        <f xml:space="preserve"> IFERROR( INDEX(表格1_334[鍵盤按鍵], MATCH($Y55, 表格1_334[方音符號], 0)), "")</f>
        <v/>
      </c>
    </row>
    <row r="56" spans="1:47" ht="32.25">
      <c r="B56" s="2">
        <v>10</v>
      </c>
      <c r="C56" s="21" t="str">
        <f t="shared" si="12"/>
        <v>d</v>
      </c>
      <c r="D56" s="5" t="str">
        <f t="shared" si="13"/>
        <v>ㄎ</v>
      </c>
      <c r="E56" s="5" t="str">
        <f t="shared" si="14"/>
        <v>K</v>
      </c>
      <c r="G56" s="2"/>
      <c r="H56" s="2"/>
      <c r="J56" s="4"/>
      <c r="K56" s="3"/>
      <c r="L56" s="2"/>
      <c r="O56" s="5"/>
      <c r="P56" s="2"/>
      <c r="X56" s="77">
        <f t="shared" si="10"/>
        <v>54</v>
      </c>
      <c r="Y56" s="32" t="s">
        <v>130</v>
      </c>
      <c r="Z56" s="66" t="s">
        <v>131</v>
      </c>
      <c r="AA56" s="34" t="str">
        <f xml:space="preserve"> IFERROR( INDEX(表格1_334[字典編碼], MATCH($Y56, 表格1_334[方音符號], 0)), "")</f>
        <v/>
      </c>
      <c r="AB56" s="34"/>
      <c r="AC56" s="35" t="str">
        <f xml:space="preserve"> IFERROR( INDEX(表格1_334[鍵盤按鍵], MATCH($Y56, 表格1_334[方音符號], 0)), "")</f>
        <v/>
      </c>
    </row>
    <row r="57" spans="1:47" ht="32.25">
      <c r="B57" s="2">
        <v>11</v>
      </c>
      <c r="C57" s="21" t="str">
        <f t="shared" si="12"/>
        <v>c</v>
      </c>
      <c r="D57" s="5" t="str">
        <f t="shared" si="13"/>
        <v>ㄏ</v>
      </c>
      <c r="E57" s="5" t="str">
        <f t="shared" si="14"/>
        <v>h</v>
      </c>
      <c r="G57" s="2"/>
      <c r="H57" s="2"/>
      <c r="J57" s="4"/>
      <c r="K57" s="3"/>
      <c r="L57" s="2"/>
      <c r="O57" s="5"/>
      <c r="P57" s="2"/>
      <c r="X57" s="77">
        <f t="shared" si="10"/>
        <v>55</v>
      </c>
      <c r="Y57" s="32" t="s">
        <v>132</v>
      </c>
      <c r="Z57" s="66" t="s">
        <v>133</v>
      </c>
      <c r="AA57" s="34" t="str">
        <f xml:space="preserve"> IFERROR( INDEX(表格1_334[字典編碼], MATCH($Y57, 表格1_334[方音符號], 0)), "")</f>
        <v/>
      </c>
      <c r="AB57" s="34"/>
      <c r="AC57" s="35" t="str">
        <f xml:space="preserve"> IFERROR( INDEX(表格1_334[鍵盤按鍵], MATCH($Y57, 表格1_334[方音符號], 0)), "")</f>
        <v/>
      </c>
    </row>
    <row r="58" spans="1:47" ht="32.25">
      <c r="B58" s="2">
        <v>12</v>
      </c>
      <c r="C58" s="21" t="str">
        <f t="shared" si="12"/>
        <v>r</v>
      </c>
      <c r="D58" s="5" t="str">
        <f t="shared" si="13"/>
        <v>ㄐ</v>
      </c>
      <c r="E58" s="5" t="str">
        <f t="shared" si="14"/>
        <v>j</v>
      </c>
      <c r="G58" s="2"/>
      <c r="H58" s="2"/>
      <c r="J58" s="4"/>
      <c r="K58" s="3"/>
      <c r="L58" s="2"/>
      <c r="O58" s="5"/>
      <c r="P58" s="2"/>
      <c r="X58" s="78">
        <f t="shared" si="10"/>
        <v>56</v>
      </c>
      <c r="Y58" s="42" t="s">
        <v>134</v>
      </c>
      <c r="Z58" s="67" t="s">
        <v>135</v>
      </c>
      <c r="AA58" s="44" t="str">
        <f xml:space="preserve"> IFERROR( INDEX(表格1_334[字典編碼], MATCH($Y58, 表格1_334[方音符號], 0)), "")</f>
        <v/>
      </c>
      <c r="AB58" s="44"/>
      <c r="AC58" s="45" t="str">
        <f xml:space="preserve"> IFERROR( INDEX(表格1_334[鍵盤按鍵], MATCH($Y58, 表格1_334[方音符號], 0)), "")</f>
        <v/>
      </c>
    </row>
    <row r="59" spans="1:47">
      <c r="B59" s="2">
        <v>13</v>
      </c>
      <c r="C59" s="21" t="str">
        <f t="shared" si="12"/>
        <v>f</v>
      </c>
      <c r="D59" s="5" t="str">
        <f t="shared" si="13"/>
        <v>ㄑ</v>
      </c>
      <c r="E59" s="5" t="str">
        <f t="shared" si="14"/>
        <v>J</v>
      </c>
      <c r="G59" s="2"/>
      <c r="H59" s="2"/>
      <c r="J59" s="4"/>
      <c r="K59" s="3"/>
      <c r="L59" s="2"/>
      <c r="O59" s="5"/>
      <c r="P59" s="2"/>
      <c r="AT59" s="11"/>
      <c r="AU59" s="2"/>
    </row>
    <row r="60" spans="1:47">
      <c r="B60" s="2">
        <v>14</v>
      </c>
      <c r="C60" s="21" t="str">
        <f t="shared" si="12"/>
        <v>v</v>
      </c>
      <c r="D60" s="5" t="str">
        <f t="shared" si="13"/>
        <v>ㄒ</v>
      </c>
      <c r="E60" s="5" t="str">
        <f t="shared" si="14"/>
        <v>S</v>
      </c>
      <c r="G60" s="2"/>
      <c r="H60" s="2"/>
      <c r="J60" s="4"/>
      <c r="K60" s="3"/>
      <c r="L60" s="2"/>
      <c r="O60" s="5"/>
      <c r="P60" s="2"/>
      <c r="AT60" s="11"/>
      <c r="AU60" s="2"/>
    </row>
    <row r="61" spans="1:47">
      <c r="B61" s="2">
        <v>15</v>
      </c>
      <c r="C61" s="21" t="str">
        <f t="shared" si="12"/>
        <v>t</v>
      </c>
      <c r="D61" s="5" t="str">
        <f t="shared" si="13"/>
        <v>ㆣ</v>
      </c>
      <c r="E61" s="5" t="str">
        <f t="shared" si="14"/>
        <v>g</v>
      </c>
      <c r="G61" s="2"/>
      <c r="H61" s="2"/>
      <c r="J61" s="4"/>
      <c r="K61" s="3"/>
      <c r="L61" s="2"/>
      <c r="O61" s="5"/>
      <c r="P61" s="2"/>
      <c r="AT61" s="11"/>
      <c r="AU61" s="2"/>
    </row>
    <row r="62" spans="1:47">
      <c r="B62" s="2">
        <v>16</v>
      </c>
      <c r="C62" s="21" t="str">
        <f t="shared" si="12"/>
        <v>g</v>
      </c>
      <c r="D62" s="5" t="str">
        <f t="shared" si="13"/>
        <v>ㄫ</v>
      </c>
      <c r="E62" s="5" t="str">
        <f t="shared" si="14"/>
        <v>q</v>
      </c>
      <c r="G62" s="2"/>
      <c r="H62" s="2"/>
      <c r="J62" s="4"/>
      <c r="K62" s="3"/>
      <c r="L62" s="2"/>
      <c r="O62" s="5"/>
      <c r="P62" s="2"/>
      <c r="AT62" s="11"/>
      <c r="AU62" s="2"/>
    </row>
    <row r="63" spans="1:47">
      <c r="B63" s="2">
        <v>17</v>
      </c>
      <c r="C63" s="21" t="str">
        <f t="shared" si="12"/>
        <v>b</v>
      </c>
      <c r="D63" s="5" t="str">
        <f t="shared" si="13"/>
        <v>ㆡ</v>
      </c>
      <c r="E63" s="5" t="str">
        <f t="shared" si="14"/>
        <v>z</v>
      </c>
      <c r="G63" s="2"/>
      <c r="H63" s="2"/>
      <c r="J63" s="4"/>
      <c r="K63" s="3"/>
      <c r="L63" s="2"/>
      <c r="O63" s="5"/>
      <c r="P63" s="2"/>
      <c r="AT63" s="11"/>
      <c r="AU63" s="2"/>
    </row>
    <row r="64" spans="1:47">
      <c r="B64" s="2">
        <v>18</v>
      </c>
      <c r="C64" s="21" t="str">
        <f t="shared" si="12"/>
        <v>y</v>
      </c>
      <c r="D64" s="5" t="str">
        <f t="shared" si="13"/>
        <v>ㄗ</v>
      </c>
      <c r="E64" s="5" t="str">
        <f t="shared" si="14"/>
        <v>c</v>
      </c>
      <c r="G64" s="2"/>
      <c r="H64" s="2"/>
      <c r="J64" s="4"/>
      <c r="K64" s="3"/>
      <c r="L64" s="2"/>
      <c r="O64" s="5"/>
      <c r="P64" s="2"/>
      <c r="AT64" s="11"/>
      <c r="AU64" s="2"/>
    </row>
    <row r="65" spans="2:47">
      <c r="B65" s="2">
        <v>19</v>
      </c>
      <c r="C65" s="21" t="str">
        <f t="shared" si="12"/>
        <v>h</v>
      </c>
      <c r="D65" s="5" t="str">
        <f t="shared" si="13"/>
        <v>ㄘ</v>
      </c>
      <c r="E65" s="5" t="str">
        <f t="shared" si="14"/>
        <v>C</v>
      </c>
      <c r="G65" s="2"/>
      <c r="H65" s="2"/>
      <c r="J65" s="4"/>
      <c r="K65" s="3"/>
      <c r="L65" s="2"/>
      <c r="O65" s="5"/>
      <c r="P65" s="2"/>
      <c r="AT65" s="11"/>
      <c r="AU65" s="2"/>
    </row>
    <row r="66" spans="2:47">
      <c r="B66" s="2">
        <v>20</v>
      </c>
      <c r="C66" s="21" t="str">
        <f t="shared" si="12"/>
        <v>n</v>
      </c>
      <c r="D66" s="5" t="str">
        <f t="shared" si="13"/>
        <v>ㄙ</v>
      </c>
      <c r="E66" s="5" t="str">
        <f t="shared" si="14"/>
        <v>s</v>
      </c>
      <c r="G66" s="2"/>
      <c r="H66" s="2"/>
      <c r="J66" s="4"/>
      <c r="K66" s="3"/>
      <c r="L66" s="2"/>
      <c r="O66" s="5"/>
      <c r="P66" s="2"/>
      <c r="AT66" s="11"/>
      <c r="AU66" s="2"/>
    </row>
    <row r="67" spans="2:47">
      <c r="B67" s="2">
        <v>21</v>
      </c>
      <c r="C67" s="21" t="str">
        <f t="shared" si="12"/>
        <v>u</v>
      </c>
      <c r="D67" s="5" t="str">
        <f t="shared" si="13"/>
        <v>ㄧ</v>
      </c>
      <c r="E67" s="5" t="str">
        <f t="shared" si="14"/>
        <v>i</v>
      </c>
      <c r="G67" s="2"/>
      <c r="H67" s="2"/>
      <c r="J67" s="4"/>
      <c r="K67" s="3"/>
      <c r="L67" s="2"/>
      <c r="O67" s="5"/>
      <c r="P67" s="2"/>
      <c r="AT67" s="11"/>
      <c r="AU67" s="2"/>
    </row>
    <row r="68" spans="2:47">
      <c r="B68" s="2">
        <v>22</v>
      </c>
      <c r="C68" s="21" t="str">
        <f t="shared" si="12"/>
        <v>j</v>
      </c>
      <c r="D68" s="5" t="str">
        <f t="shared" si="13"/>
        <v>ㄨ</v>
      </c>
      <c r="E68" s="5" t="str">
        <f t="shared" si="14"/>
        <v>u</v>
      </c>
      <c r="G68" s="2"/>
      <c r="H68" s="2"/>
      <c r="J68" s="4"/>
      <c r="K68" s="3"/>
      <c r="L68" s="2"/>
      <c r="O68" s="5"/>
      <c r="P68" s="2"/>
      <c r="AT68" s="11"/>
      <c r="AU68" s="2"/>
    </row>
    <row r="69" spans="2:47">
      <c r="B69" s="2">
        <v>23</v>
      </c>
      <c r="C69" s="21" t="str">
        <f t="shared" si="12"/>
        <v>m</v>
      </c>
      <c r="D69" s="5" t="str">
        <f t="shared" si="13"/>
        <v>ㆬ</v>
      </c>
      <c r="E69" s="5" t="str">
        <f t="shared" si="14"/>
        <v>B</v>
      </c>
      <c r="G69" s="2"/>
      <c r="H69" s="2"/>
      <c r="J69" s="4"/>
      <c r="K69" s="3"/>
      <c r="L69" s="2"/>
      <c r="O69" s="5"/>
      <c r="P69" s="2"/>
      <c r="AT69" s="11"/>
      <c r="AU69" s="2"/>
    </row>
    <row r="70" spans="2:47">
      <c r="B70" s="2">
        <v>24</v>
      </c>
      <c r="C70" s="21" t="str">
        <f t="shared" si="12"/>
        <v>8</v>
      </c>
      <c r="D70" s="5" t="str">
        <f t="shared" si="13"/>
        <v>ㄚ</v>
      </c>
      <c r="E70" s="5" t="str">
        <f t="shared" si="14"/>
        <v>a</v>
      </c>
      <c r="G70" s="2"/>
      <c r="H70" s="2"/>
      <c r="J70" s="4"/>
      <c r="K70" s="3"/>
      <c r="L70" s="2"/>
      <c r="O70" s="5"/>
      <c r="P70" s="2"/>
      <c r="AT70" s="11"/>
      <c r="AU70" s="2"/>
    </row>
    <row r="71" spans="2:47">
      <c r="B71" s="2">
        <v>25</v>
      </c>
      <c r="C71" s="21" t="str">
        <f t="shared" si="12"/>
        <v>i</v>
      </c>
      <c r="D71" s="5" t="str">
        <f t="shared" si="13"/>
        <v>ㆦ</v>
      </c>
      <c r="E71" s="5" t="str">
        <f t="shared" si="14"/>
        <v>o</v>
      </c>
      <c r="G71" s="2"/>
      <c r="H71" s="2"/>
      <c r="J71" s="4"/>
      <c r="K71" s="3"/>
      <c r="L71" s="2"/>
      <c r="O71" s="5"/>
      <c r="P71" s="2"/>
      <c r="AT71" s="11"/>
      <c r="AU71" s="2"/>
    </row>
    <row r="72" spans="2:47">
      <c r="B72" s="2">
        <v>26</v>
      </c>
      <c r="C72" s="21" t="str">
        <f t="shared" si="12"/>
        <v>k</v>
      </c>
      <c r="D72" s="5" t="str">
        <f t="shared" si="13"/>
        <v>ㄜ</v>
      </c>
      <c r="E72" s="5" t="str">
        <f t="shared" si="14"/>
        <v>ø</v>
      </c>
      <c r="G72" s="2"/>
      <c r="H72" s="2"/>
      <c r="J72" s="4"/>
      <c r="K72" s="3"/>
      <c r="L72" s="2"/>
      <c r="O72" s="5"/>
      <c r="P72" s="2"/>
      <c r="AT72" s="11"/>
      <c r="AU72" s="2"/>
    </row>
    <row r="73" spans="2:47">
      <c r="B73" s="2">
        <v>27</v>
      </c>
      <c r="C73" s="21" t="str">
        <f t="shared" si="12"/>
        <v>,</v>
      </c>
      <c r="D73" s="5" t="str">
        <f t="shared" si="13"/>
        <v>ㆰ</v>
      </c>
      <c r="E73" s="5" t="str">
        <f t="shared" si="14"/>
        <v>M</v>
      </c>
      <c r="G73" s="2"/>
      <c r="H73" s="2"/>
      <c r="J73" s="4"/>
      <c r="K73" s="3"/>
      <c r="L73" s="2"/>
      <c r="O73" s="5"/>
      <c r="P73" s="2"/>
      <c r="AT73" s="11"/>
      <c r="AU73" s="2"/>
    </row>
    <row r="74" spans="2:47">
      <c r="B74" s="2">
        <v>28</v>
      </c>
      <c r="C74" s="21" t="str">
        <f t="shared" si="12"/>
        <v>9</v>
      </c>
      <c r="D74" s="5" t="str">
        <f t="shared" si="13"/>
        <v>ㄞ</v>
      </c>
      <c r="E74" s="5" t="str">
        <f t="shared" si="14"/>
        <v>I</v>
      </c>
      <c r="G74" s="2"/>
      <c r="H74" s="2"/>
      <c r="J74" s="4"/>
      <c r="K74" s="3"/>
      <c r="L74" s="2"/>
      <c r="O74" s="5"/>
      <c r="P74" s="2"/>
      <c r="AT74" s="11"/>
      <c r="AU74" s="2"/>
    </row>
    <row r="75" spans="2:47">
      <c r="B75" s="2">
        <v>29</v>
      </c>
      <c r="C75" s="21" t="str">
        <f t="shared" si="12"/>
        <v>o</v>
      </c>
      <c r="D75" s="5" t="str">
        <f t="shared" si="13"/>
        <v>ㆤ</v>
      </c>
      <c r="E75" s="5" t="str">
        <f t="shared" si="14"/>
        <v>e</v>
      </c>
      <c r="G75" s="2"/>
      <c r="H75" s="2"/>
      <c r="J75" s="4"/>
      <c r="K75" s="3"/>
      <c r="L75" s="2"/>
      <c r="O75" s="5"/>
      <c r="P75" s="2"/>
      <c r="AT75" s="11"/>
      <c r="AU75" s="2"/>
    </row>
    <row r="76" spans="2:47">
      <c r="B76" s="2">
        <v>30</v>
      </c>
      <c r="C76" s="21" t="str">
        <f t="shared" si="12"/>
        <v>l</v>
      </c>
      <c r="D76" s="5" t="str">
        <f t="shared" si="13"/>
        <v>ㄠ</v>
      </c>
      <c r="E76" s="5" t="str">
        <f t="shared" si="14"/>
        <v>U</v>
      </c>
      <c r="G76" s="2"/>
      <c r="H76" s="2"/>
      <c r="J76" s="4"/>
      <c r="K76" s="3"/>
      <c r="L76" s="2"/>
      <c r="O76" s="5"/>
      <c r="P76" s="2"/>
      <c r="AT76" s="11"/>
      <c r="AU76" s="2"/>
    </row>
    <row r="77" spans="2:47">
      <c r="B77" s="2">
        <v>31</v>
      </c>
      <c r="C77" s="21" t="str">
        <f t="shared" si="12"/>
        <v>.</v>
      </c>
      <c r="D77" s="5" t="str">
        <f t="shared" si="13"/>
        <v>ㆲ</v>
      </c>
      <c r="E77" s="5" t="str">
        <f t="shared" si="14"/>
        <v>Y</v>
      </c>
      <c r="G77" s="2"/>
      <c r="H77" s="2"/>
      <c r="J77" s="4"/>
      <c r="K77" s="3"/>
      <c r="L77" s="2"/>
      <c r="O77" s="5"/>
      <c r="P77" s="2"/>
      <c r="AT77" s="11"/>
      <c r="AU77" s="2"/>
    </row>
    <row r="78" spans="2:47">
      <c r="B78" s="2">
        <v>32</v>
      </c>
      <c r="C78" s="21" t="str">
        <f t="shared" si="12"/>
        <v>0</v>
      </c>
      <c r="D78" s="5" t="str">
        <f t="shared" si="13"/>
        <v>ㄢ</v>
      </c>
      <c r="E78" s="5" t="str">
        <f t="shared" si="14"/>
        <v>L</v>
      </c>
      <c r="G78" s="2"/>
      <c r="H78" s="2"/>
      <c r="J78" s="4"/>
      <c r="K78" s="3"/>
      <c r="L78" s="2"/>
      <c r="O78" s="5"/>
      <c r="P78" s="2"/>
      <c r="AT78" s="11"/>
      <c r="AU78" s="2"/>
    </row>
    <row r="79" spans="2:47">
      <c r="B79" s="2">
        <v>33</v>
      </c>
      <c r="C79" s="21" t="str">
        <f t="shared" si="12"/>
        <v>p</v>
      </c>
      <c r="D79" s="5" t="str">
        <f t="shared" si="13"/>
        <v>ㄣ</v>
      </c>
      <c r="E79" s="5" t="str">
        <f t="shared" si="14"/>
        <v>D</v>
      </c>
      <c r="G79" s="2"/>
      <c r="H79" s="2"/>
      <c r="J79" s="4"/>
      <c r="K79" s="3"/>
      <c r="L79" s="2"/>
      <c r="O79" s="5"/>
      <c r="P79" s="2"/>
      <c r="AT79" s="11"/>
      <c r="AU79" s="2"/>
    </row>
    <row r="80" spans="2:47">
      <c r="B80" s="2">
        <v>34</v>
      </c>
      <c r="C80" s="21" t="str">
        <f t="shared" si="12"/>
        <v>;</v>
      </c>
      <c r="D80" s="5" t="str">
        <f t="shared" si="13"/>
        <v>ㄤ</v>
      </c>
      <c r="E80" s="5" t="str">
        <f t="shared" si="14"/>
        <v>Q</v>
      </c>
      <c r="G80" s="2"/>
      <c r="H80" s="2"/>
      <c r="J80" s="4"/>
      <c r="K80" s="3"/>
      <c r="L80" s="2"/>
      <c r="O80" s="5"/>
      <c r="P80" s="2"/>
      <c r="AT80" s="11"/>
      <c r="AU80" s="2"/>
    </row>
    <row r="81" spans="2:47">
      <c r="B81" s="2">
        <v>35</v>
      </c>
      <c r="C81" s="21" t="str">
        <f t="shared" si="12"/>
        <v>/</v>
      </c>
      <c r="D81" s="5" t="str">
        <f t="shared" si="13"/>
        <v>ㆭ</v>
      </c>
      <c r="E81" s="5" t="str">
        <f t="shared" si="14"/>
        <v>G</v>
      </c>
      <c r="G81" s="2"/>
      <c r="H81" s="2"/>
      <c r="J81" s="4"/>
      <c r="K81" s="3"/>
      <c r="L81" s="2"/>
      <c r="O81" s="5"/>
      <c r="P81" s="2"/>
      <c r="AT81" s="11"/>
      <c r="AU81" s="2"/>
    </row>
    <row r="82" spans="2:47">
      <c r="B82" s="2">
        <v>36</v>
      </c>
      <c r="C82" s="21" t="str">
        <f t="shared" si="12"/>
        <v>-</v>
      </c>
      <c r="D82" s="5" t="str">
        <f t="shared" si="13"/>
        <v>ｎ</v>
      </c>
      <c r="E82" s="5" t="str">
        <f t="shared" si="14"/>
        <v>N</v>
      </c>
      <c r="G82" s="2"/>
      <c r="H82" s="2"/>
      <c r="J82" s="4"/>
      <c r="K82" s="3"/>
      <c r="L82" s="2"/>
      <c r="O82" s="5"/>
      <c r="P82" s="2"/>
      <c r="AT82" s="11"/>
      <c r="AU82" s="2"/>
    </row>
    <row r="83" spans="2:47">
      <c r="B83" s="2">
        <v>37</v>
      </c>
      <c r="C83" s="21" t="str">
        <f t="shared" si="12"/>
        <v xml:space="preserve"> </v>
      </c>
      <c r="D83" s="5" t="str">
        <f t="shared" si="13"/>
        <v/>
      </c>
      <c r="E83" s="5" t="str">
        <f t="shared" si="14"/>
        <v>1</v>
      </c>
      <c r="G83" s="2"/>
      <c r="H83" s="2"/>
      <c r="J83" s="4"/>
      <c r="K83" s="3"/>
      <c r="L83" s="2"/>
      <c r="O83" s="5"/>
      <c r="P83" s="2"/>
      <c r="AT83" s="11"/>
      <c r="AU83" s="2"/>
    </row>
    <row r="84" spans="2:47">
      <c r="B84" s="2">
        <v>38</v>
      </c>
      <c r="C84" s="21" t="str">
        <f t="shared" si="12"/>
        <v>4</v>
      </c>
      <c r="D84" s="5" t="str">
        <f t="shared" si="13"/>
        <v>ˋ</v>
      </c>
      <c r="E84" s="5" t="str">
        <f t="shared" si="14"/>
        <v>2</v>
      </c>
      <c r="G84" s="2"/>
      <c r="H84" s="2"/>
      <c r="J84" s="4"/>
      <c r="K84" s="3"/>
      <c r="L84" s="2"/>
      <c r="O84" s="5"/>
      <c r="P84" s="2"/>
      <c r="AT84" s="11"/>
      <c r="AU84" s="2"/>
    </row>
    <row r="85" spans="2:47">
      <c r="B85" s="2">
        <v>39</v>
      </c>
      <c r="C85" s="21" t="str">
        <f t="shared" si="12"/>
        <v>3</v>
      </c>
      <c r="D85" s="5" t="str">
        <f t="shared" si="13"/>
        <v>˪</v>
      </c>
      <c r="E85" s="5" t="str">
        <f t="shared" si="14"/>
        <v>3</v>
      </c>
      <c r="G85" s="2"/>
      <c r="H85" s="2"/>
      <c r="J85" s="4"/>
      <c r="K85" s="3"/>
      <c r="L85" s="2"/>
      <c r="O85" s="5"/>
      <c r="P85" s="2"/>
      <c r="AT85" s="11"/>
      <c r="AU85" s="2"/>
    </row>
    <row r="86" spans="2:47">
      <c r="B86" s="2">
        <v>40</v>
      </c>
      <c r="C86" s="21" t="str">
        <f t="shared" si="12"/>
        <v>6</v>
      </c>
      <c r="D86" s="5" t="str">
        <f t="shared" si="13"/>
        <v>ˊ</v>
      </c>
      <c r="E86" s="5" t="str">
        <f t="shared" si="14"/>
        <v>5</v>
      </c>
      <c r="G86" s="2"/>
      <c r="H86" s="2"/>
      <c r="J86" s="4"/>
      <c r="K86" s="3"/>
      <c r="L86" s="2"/>
      <c r="O86" s="5"/>
      <c r="P86" s="2"/>
      <c r="AT86" s="11"/>
      <c r="AU86" s="2"/>
    </row>
    <row r="87" spans="2:47">
      <c r="B87" s="2">
        <v>41</v>
      </c>
      <c r="C87" s="21" t="str">
        <f t="shared" si="12"/>
        <v>5</v>
      </c>
      <c r="D87" s="5" t="str">
        <f t="shared" si="13"/>
        <v>˫</v>
      </c>
      <c r="E87" s="5" t="str">
        <f t="shared" si="14"/>
        <v>7</v>
      </c>
      <c r="G87" s="2"/>
      <c r="H87" s="2"/>
      <c r="J87" s="4"/>
      <c r="K87" s="3"/>
      <c r="L87" s="2"/>
      <c r="O87" s="5"/>
      <c r="P87" s="2"/>
      <c r="AT87" s="11"/>
      <c r="AU87" s="2"/>
    </row>
    <row r="88" spans="2:47">
      <c r="B88" s="2">
        <v>42</v>
      </c>
      <c r="C88" s="21" t="str">
        <f t="shared" si="12"/>
        <v>7</v>
      </c>
      <c r="D88" s="5" t="str">
        <f t="shared" si="13"/>
        <v>．</v>
      </c>
      <c r="E88" s="5" t="str">
        <f t="shared" si="14"/>
        <v>0</v>
      </c>
      <c r="G88" s="2"/>
      <c r="H88" s="2"/>
      <c r="J88" s="4"/>
      <c r="K88" s="3"/>
      <c r="L88" s="2"/>
      <c r="O88" s="5"/>
      <c r="P88" s="2"/>
      <c r="AT88" s="11"/>
      <c r="AU88" s="2"/>
    </row>
    <row r="89" spans="2:47">
      <c r="G89" s="2"/>
      <c r="H89" s="2"/>
      <c r="J89" s="4"/>
      <c r="K89" s="3"/>
      <c r="L89" s="2"/>
      <c r="O89" s="5"/>
      <c r="P89" s="2"/>
      <c r="AT89" s="11"/>
      <c r="AU89" s="2"/>
    </row>
    <row r="90" spans="2:47">
      <c r="G90" s="2"/>
      <c r="H90" s="2"/>
      <c r="J90" s="4"/>
      <c r="K90" s="3"/>
      <c r="L90" s="2"/>
      <c r="O90" s="5"/>
      <c r="P90" s="2"/>
      <c r="AT90" s="11"/>
      <c r="AU90" s="2"/>
    </row>
    <row r="91" spans="2:47">
      <c r="G91" s="2"/>
      <c r="H91" s="2"/>
      <c r="J91" s="4"/>
      <c r="K91" s="3"/>
      <c r="L91" s="2"/>
      <c r="O91" s="5"/>
      <c r="P91" s="2"/>
      <c r="AT91" s="11"/>
      <c r="AU91" s="2"/>
    </row>
    <row r="92" spans="2:47">
      <c r="G92" s="2"/>
      <c r="H92" s="2"/>
      <c r="J92" s="4"/>
      <c r="K92" s="3"/>
      <c r="L92" s="2"/>
      <c r="O92" s="5"/>
      <c r="P92" s="2"/>
      <c r="AT92" s="11"/>
      <c r="AU92" s="2"/>
    </row>
    <row r="93" spans="2:47">
      <c r="G93" s="2"/>
      <c r="H93" s="2"/>
      <c r="J93" s="4"/>
      <c r="K93" s="3"/>
      <c r="L93" s="2"/>
      <c r="O93" s="5"/>
      <c r="P93" s="2"/>
      <c r="AT93" s="11"/>
      <c r="AU93" s="2"/>
    </row>
    <row r="94" spans="2:47">
      <c r="G94" s="2"/>
      <c r="H94" s="2"/>
      <c r="J94" s="4"/>
      <c r="K94" s="3"/>
      <c r="L94" s="2"/>
      <c r="O94" s="5"/>
      <c r="P94" s="2"/>
      <c r="AT94" s="11"/>
      <c r="AU94" s="2"/>
    </row>
    <row r="95" spans="2:47">
      <c r="G95" s="2"/>
      <c r="H95" s="2"/>
    </row>
    <row r="96" spans="2:47">
      <c r="G96" s="2"/>
      <c r="H96" s="2"/>
    </row>
    <row r="97" spans="7:8">
      <c r="G97" s="2"/>
      <c r="H97" s="2"/>
    </row>
    <row r="98" spans="7:8">
      <c r="G98" s="2"/>
      <c r="H98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708E-B1E5-4E1F-9257-F3ED28B412A3}">
  <sheetPr>
    <tabColor rgb="FFFF0000"/>
  </sheetPr>
  <dimension ref="B1:T88"/>
  <sheetViews>
    <sheetView workbookViewId="0"/>
  </sheetViews>
  <sheetFormatPr defaultRowHeight="26.25"/>
  <cols>
    <col min="1" max="1" width="2" customWidth="1"/>
    <col min="2" max="2" width="11" style="349" customWidth="1"/>
  </cols>
  <sheetData>
    <row r="1" spans="2:20" ht="30">
      <c r="B1" s="348"/>
      <c r="C1" s="350" t="s">
        <v>560</v>
      </c>
      <c r="D1" s="350" t="s">
        <v>272</v>
      </c>
      <c r="E1" s="350" t="s">
        <v>178</v>
      </c>
      <c r="F1" s="350" t="s">
        <v>561</v>
      </c>
      <c r="G1" s="350" t="s">
        <v>165</v>
      </c>
      <c r="H1" s="350" t="s">
        <v>142</v>
      </c>
      <c r="I1" s="350" t="s">
        <v>30</v>
      </c>
      <c r="J1" s="350" t="s">
        <v>562</v>
      </c>
      <c r="K1" s="350" t="s">
        <v>34</v>
      </c>
      <c r="L1" s="350" t="s">
        <v>86</v>
      </c>
      <c r="M1" s="350" t="s">
        <v>563</v>
      </c>
      <c r="N1" s="350" t="s">
        <v>564</v>
      </c>
      <c r="O1" s="350" t="s">
        <v>565</v>
      </c>
      <c r="P1" s="350" t="s">
        <v>566</v>
      </c>
      <c r="Q1" s="350" t="s">
        <v>37</v>
      </c>
      <c r="R1" s="350" t="s">
        <v>567</v>
      </c>
      <c r="S1" s="350" t="s">
        <v>161</v>
      </c>
      <c r="T1" s="350" t="s">
        <v>1446</v>
      </c>
    </row>
    <row r="2" spans="2:20">
      <c r="B2" s="351" t="s">
        <v>59</v>
      </c>
      <c r="C2" s="347" t="s">
        <v>58</v>
      </c>
      <c r="D2" s="347" t="s">
        <v>568</v>
      </c>
      <c r="E2" s="347" t="s">
        <v>569</v>
      </c>
      <c r="F2" s="347" t="s">
        <v>570</v>
      </c>
      <c r="G2" s="347" t="s">
        <v>571</v>
      </c>
      <c r="H2" s="347" t="s">
        <v>572</v>
      </c>
      <c r="I2" s="347" t="s">
        <v>573</v>
      </c>
      <c r="J2" s="347" t="s">
        <v>574</v>
      </c>
      <c r="K2" s="347" t="s">
        <v>575</v>
      </c>
      <c r="L2" s="347" t="s">
        <v>576</v>
      </c>
      <c r="M2" s="347" t="s">
        <v>577</v>
      </c>
      <c r="N2" s="347" t="s">
        <v>578</v>
      </c>
      <c r="O2" s="347"/>
      <c r="P2" s="347" t="s">
        <v>579</v>
      </c>
      <c r="Q2" s="347" t="s">
        <v>580</v>
      </c>
      <c r="R2" s="347" t="s">
        <v>581</v>
      </c>
      <c r="S2" s="347" t="s">
        <v>582</v>
      </c>
      <c r="T2" s="347" t="s">
        <v>583</v>
      </c>
    </row>
    <row r="3" spans="2:20">
      <c r="B3" s="351" t="s">
        <v>246</v>
      </c>
      <c r="C3" s="347" t="s">
        <v>115</v>
      </c>
      <c r="D3" s="347" t="s">
        <v>584</v>
      </c>
      <c r="E3" s="347"/>
      <c r="F3" s="347" t="s">
        <v>585</v>
      </c>
      <c r="G3" s="347"/>
      <c r="H3" s="347"/>
      <c r="I3" s="347" t="s">
        <v>586</v>
      </c>
      <c r="J3" s="347" t="s">
        <v>587</v>
      </c>
      <c r="K3" s="347"/>
      <c r="L3" s="347"/>
      <c r="M3" s="347" t="s">
        <v>588</v>
      </c>
      <c r="N3" s="347" t="s">
        <v>589</v>
      </c>
      <c r="O3" s="347"/>
      <c r="P3" s="347" t="s">
        <v>590</v>
      </c>
      <c r="Q3" s="347" t="s">
        <v>591</v>
      </c>
      <c r="R3" s="347" t="s">
        <v>592</v>
      </c>
      <c r="S3" s="347"/>
      <c r="T3" s="347"/>
    </row>
    <row r="4" spans="2:20">
      <c r="B4" s="351" t="s">
        <v>1419</v>
      </c>
      <c r="C4" s="347" t="s">
        <v>593</v>
      </c>
      <c r="D4" s="347" t="s">
        <v>594</v>
      </c>
      <c r="E4" s="347" t="s">
        <v>595</v>
      </c>
      <c r="F4" s="347" t="s">
        <v>596</v>
      </c>
      <c r="G4" s="347" t="s">
        <v>597</v>
      </c>
      <c r="H4" s="347" t="s">
        <v>598</v>
      </c>
      <c r="I4" s="347" t="s">
        <v>599</v>
      </c>
      <c r="J4" s="347" t="s">
        <v>600</v>
      </c>
      <c r="K4" s="347" t="s">
        <v>601</v>
      </c>
      <c r="L4" s="347" t="s">
        <v>602</v>
      </c>
      <c r="M4" s="347" t="s">
        <v>603</v>
      </c>
      <c r="N4" s="347" t="s">
        <v>604</v>
      </c>
      <c r="O4" s="347"/>
      <c r="P4" s="347" t="s">
        <v>605</v>
      </c>
      <c r="Q4" s="347" t="s">
        <v>606</v>
      </c>
      <c r="R4" s="347" t="s">
        <v>607</v>
      </c>
      <c r="S4" s="347"/>
      <c r="T4" s="347"/>
    </row>
    <row r="5" spans="2:20">
      <c r="B5" s="351" t="s">
        <v>1420</v>
      </c>
      <c r="C5" s="347" t="s">
        <v>608</v>
      </c>
      <c r="D5" s="347" t="s">
        <v>609</v>
      </c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7"/>
      <c r="P5" s="347" t="s">
        <v>610</v>
      </c>
      <c r="Q5" s="347"/>
      <c r="R5" s="347"/>
      <c r="S5" s="347"/>
      <c r="T5" s="347"/>
    </row>
    <row r="6" spans="2:20">
      <c r="B6" s="351" t="s">
        <v>175</v>
      </c>
      <c r="C6" s="347" t="s">
        <v>99</v>
      </c>
      <c r="D6" s="347" t="s">
        <v>611</v>
      </c>
      <c r="E6" s="347"/>
      <c r="F6" s="347"/>
      <c r="G6" s="347"/>
      <c r="H6" s="347"/>
      <c r="I6" s="347" t="s">
        <v>612</v>
      </c>
      <c r="J6" s="347" t="s">
        <v>613</v>
      </c>
      <c r="K6" s="347"/>
      <c r="L6" s="347" t="s">
        <v>614</v>
      </c>
      <c r="M6" s="347" t="s">
        <v>615</v>
      </c>
      <c r="N6" s="347" t="s">
        <v>616</v>
      </c>
      <c r="O6" s="347"/>
      <c r="P6" s="347" t="s">
        <v>617</v>
      </c>
      <c r="Q6" s="347" t="s">
        <v>618</v>
      </c>
      <c r="R6" s="347" t="s">
        <v>619</v>
      </c>
      <c r="S6" s="347" t="s">
        <v>620</v>
      </c>
      <c r="T6" s="347"/>
    </row>
    <row r="7" spans="2:20">
      <c r="B7" s="351" t="s">
        <v>157</v>
      </c>
      <c r="C7" s="347" t="s">
        <v>97</v>
      </c>
      <c r="D7" s="347" t="s">
        <v>621</v>
      </c>
      <c r="E7" s="347" t="s">
        <v>622</v>
      </c>
      <c r="F7" s="347" t="s">
        <v>623</v>
      </c>
      <c r="G7" s="347" t="s">
        <v>624</v>
      </c>
      <c r="H7" s="347"/>
      <c r="I7" s="347" t="s">
        <v>625</v>
      </c>
      <c r="J7" s="347" t="s">
        <v>626</v>
      </c>
      <c r="K7" s="347"/>
      <c r="L7" s="347" t="s">
        <v>627</v>
      </c>
      <c r="M7" s="347" t="s">
        <v>628</v>
      </c>
      <c r="N7" s="347" t="s">
        <v>629</v>
      </c>
      <c r="O7" s="347"/>
      <c r="P7" s="347" t="s">
        <v>630</v>
      </c>
      <c r="Q7" s="347" t="s">
        <v>631</v>
      </c>
      <c r="R7" s="347" t="s">
        <v>632</v>
      </c>
      <c r="S7" s="347" t="s">
        <v>633</v>
      </c>
      <c r="T7" s="347"/>
    </row>
    <row r="8" spans="2:20">
      <c r="B8" s="351" t="s">
        <v>1421</v>
      </c>
      <c r="C8" s="347" t="s">
        <v>95</v>
      </c>
      <c r="D8" s="347" t="s">
        <v>634</v>
      </c>
      <c r="E8" s="347" t="s">
        <v>635</v>
      </c>
      <c r="F8" s="347" t="s">
        <v>636</v>
      </c>
      <c r="G8" s="347" t="s">
        <v>637</v>
      </c>
      <c r="H8" s="347"/>
      <c r="I8" s="347" t="s">
        <v>638</v>
      </c>
      <c r="J8" s="347" t="s">
        <v>639</v>
      </c>
      <c r="K8" s="347"/>
      <c r="L8" s="347" t="s">
        <v>640</v>
      </c>
      <c r="M8" s="347" t="s">
        <v>641</v>
      </c>
      <c r="N8" s="347" t="s">
        <v>642</v>
      </c>
      <c r="O8" s="347"/>
      <c r="P8" s="347" t="s">
        <v>643</v>
      </c>
      <c r="Q8" s="347" t="s">
        <v>644</v>
      </c>
      <c r="R8" s="347" t="s">
        <v>645</v>
      </c>
      <c r="S8" s="347" t="s">
        <v>646</v>
      </c>
      <c r="T8" s="347"/>
    </row>
    <row r="9" spans="2:20">
      <c r="B9" s="351" t="s">
        <v>647</v>
      </c>
      <c r="C9" s="347" t="s">
        <v>648</v>
      </c>
      <c r="D9" s="347" t="s">
        <v>649</v>
      </c>
      <c r="E9" s="347"/>
      <c r="F9" s="347"/>
      <c r="G9" s="347"/>
      <c r="H9" s="347"/>
      <c r="I9" s="347" t="s">
        <v>650</v>
      </c>
      <c r="J9" s="347" t="s">
        <v>651</v>
      </c>
      <c r="K9" s="347"/>
      <c r="L9" s="347" t="s">
        <v>652</v>
      </c>
      <c r="M9" s="347" t="s">
        <v>653</v>
      </c>
      <c r="N9" s="347" t="s">
        <v>654</v>
      </c>
      <c r="O9" s="347"/>
      <c r="P9" s="347" t="s">
        <v>655</v>
      </c>
      <c r="Q9" s="347" t="s">
        <v>656</v>
      </c>
      <c r="R9" s="347" t="s">
        <v>657</v>
      </c>
      <c r="S9" s="347"/>
      <c r="T9" s="347"/>
    </row>
    <row r="10" spans="2:20">
      <c r="B10" s="351" t="s">
        <v>658</v>
      </c>
      <c r="C10" s="347" t="s">
        <v>659</v>
      </c>
      <c r="D10" s="347" t="s">
        <v>660</v>
      </c>
      <c r="E10" s="347" t="s">
        <v>661</v>
      </c>
      <c r="F10" s="347" t="s">
        <v>662</v>
      </c>
      <c r="G10" s="347" t="s">
        <v>663</v>
      </c>
      <c r="H10" s="347"/>
      <c r="I10" s="347" t="s">
        <v>664</v>
      </c>
      <c r="J10" s="347" t="s">
        <v>665</v>
      </c>
      <c r="K10" s="347"/>
      <c r="L10" s="347" t="s">
        <v>666</v>
      </c>
      <c r="M10" s="347" t="s">
        <v>667</v>
      </c>
      <c r="N10" s="347" t="s">
        <v>668</v>
      </c>
      <c r="O10" s="347"/>
      <c r="P10" s="347" t="s">
        <v>669</v>
      </c>
      <c r="Q10" s="347" t="s">
        <v>670</v>
      </c>
      <c r="R10" s="347" t="s">
        <v>671</v>
      </c>
      <c r="S10" s="347"/>
      <c r="T10" s="347"/>
    </row>
    <row r="11" spans="2:20">
      <c r="B11" s="351" t="s">
        <v>672</v>
      </c>
      <c r="C11" s="347" t="s">
        <v>673</v>
      </c>
      <c r="D11" s="347" t="s">
        <v>674</v>
      </c>
      <c r="E11" s="347" t="s">
        <v>675</v>
      </c>
      <c r="F11" s="347" t="s">
        <v>676</v>
      </c>
      <c r="G11" s="347" t="s">
        <v>677</v>
      </c>
      <c r="H11" s="347"/>
      <c r="I11" s="347" t="s">
        <v>678</v>
      </c>
      <c r="J11" s="347" t="s">
        <v>679</v>
      </c>
      <c r="K11" s="347"/>
      <c r="L11" s="347" t="s">
        <v>680</v>
      </c>
      <c r="M11" s="347" t="s">
        <v>681</v>
      </c>
      <c r="N11" s="347" t="s">
        <v>682</v>
      </c>
      <c r="O11" s="347"/>
      <c r="P11" s="347" t="s">
        <v>683</v>
      </c>
      <c r="Q11" s="347" t="s">
        <v>684</v>
      </c>
      <c r="R11" s="347" t="s">
        <v>685</v>
      </c>
      <c r="S11" s="347" t="s">
        <v>686</v>
      </c>
      <c r="T11" s="347"/>
    </row>
    <row r="12" spans="2:20">
      <c r="B12" s="351" t="s">
        <v>1415</v>
      </c>
      <c r="C12" s="347" t="s">
        <v>189</v>
      </c>
      <c r="D12" s="347" t="s">
        <v>687</v>
      </c>
      <c r="E12" s="347" t="s">
        <v>688</v>
      </c>
      <c r="F12" s="347" t="s">
        <v>689</v>
      </c>
      <c r="G12" s="347" t="s">
        <v>690</v>
      </c>
      <c r="H12" s="347" t="s">
        <v>691</v>
      </c>
      <c r="I12" s="347" t="s">
        <v>692</v>
      </c>
      <c r="J12" s="347" t="s">
        <v>693</v>
      </c>
      <c r="K12" s="347" t="s">
        <v>694</v>
      </c>
      <c r="L12" s="347" t="s">
        <v>695</v>
      </c>
      <c r="M12" s="347" t="s">
        <v>696</v>
      </c>
      <c r="N12" s="347" t="s">
        <v>697</v>
      </c>
      <c r="O12" s="347"/>
      <c r="P12" s="347" t="s">
        <v>698</v>
      </c>
      <c r="Q12" s="347" t="s">
        <v>699</v>
      </c>
      <c r="R12" s="347" t="s">
        <v>700</v>
      </c>
      <c r="S12" s="347" t="s">
        <v>701</v>
      </c>
      <c r="T12" s="347" t="s">
        <v>702</v>
      </c>
    </row>
    <row r="13" spans="2:20">
      <c r="B13" s="351" t="s">
        <v>1416</v>
      </c>
      <c r="C13" s="347" t="s">
        <v>117</v>
      </c>
      <c r="D13" s="347" t="s">
        <v>703</v>
      </c>
      <c r="E13" s="347"/>
      <c r="F13" s="347" t="s">
        <v>704</v>
      </c>
      <c r="G13" s="347"/>
      <c r="H13" s="347"/>
      <c r="I13" s="347" t="s">
        <v>705</v>
      </c>
      <c r="J13" s="347"/>
      <c r="K13" s="347"/>
      <c r="L13" s="347"/>
      <c r="M13" s="347" t="s">
        <v>706</v>
      </c>
      <c r="N13" s="347"/>
      <c r="O13" s="347"/>
      <c r="P13" s="347"/>
      <c r="Q13" s="347" t="s">
        <v>707</v>
      </c>
      <c r="R13" s="347" t="s">
        <v>708</v>
      </c>
      <c r="S13" s="347"/>
      <c r="T13" s="347"/>
    </row>
    <row r="14" spans="2:20">
      <c r="B14" s="351" t="s">
        <v>1417</v>
      </c>
      <c r="C14" s="347" t="s">
        <v>236</v>
      </c>
      <c r="D14" s="347" t="s">
        <v>709</v>
      </c>
      <c r="E14" s="347"/>
      <c r="F14" s="347"/>
      <c r="G14" s="347"/>
      <c r="H14" s="347"/>
      <c r="I14" s="347"/>
      <c r="J14" s="347"/>
      <c r="K14" s="347"/>
      <c r="L14" s="347" t="s">
        <v>710</v>
      </c>
      <c r="M14" s="347"/>
      <c r="N14" s="347"/>
      <c r="O14" s="347"/>
      <c r="P14" s="347" t="s">
        <v>711</v>
      </c>
      <c r="Q14" s="347"/>
      <c r="R14" s="347"/>
      <c r="S14" s="347"/>
      <c r="T14" s="347"/>
    </row>
    <row r="15" spans="2:20">
      <c r="B15" s="351" t="s">
        <v>232</v>
      </c>
      <c r="C15" s="347" t="s">
        <v>72</v>
      </c>
      <c r="D15" s="347" t="s">
        <v>712</v>
      </c>
      <c r="E15" s="347" t="s">
        <v>713</v>
      </c>
      <c r="F15" s="347" t="s">
        <v>714</v>
      </c>
      <c r="G15" s="347" t="s">
        <v>715</v>
      </c>
      <c r="H15" s="347" t="s">
        <v>1418</v>
      </c>
      <c r="I15" s="347" t="s">
        <v>716</v>
      </c>
      <c r="J15" s="347" t="s">
        <v>717</v>
      </c>
      <c r="K15" s="347" t="s">
        <v>718</v>
      </c>
      <c r="L15" s="347" t="s">
        <v>719</v>
      </c>
      <c r="M15" s="347" t="s">
        <v>720</v>
      </c>
      <c r="N15" s="347" t="s">
        <v>721</v>
      </c>
      <c r="O15" s="347"/>
      <c r="P15" s="347" t="s">
        <v>722</v>
      </c>
      <c r="Q15" s="347" t="s">
        <v>723</v>
      </c>
      <c r="R15" s="347" t="s">
        <v>724</v>
      </c>
      <c r="S15" s="347" t="s">
        <v>725</v>
      </c>
      <c r="T15" s="347" t="s">
        <v>726</v>
      </c>
    </row>
    <row r="16" spans="2:20">
      <c r="B16" s="351" t="s">
        <v>727</v>
      </c>
      <c r="C16" s="347" t="s">
        <v>233</v>
      </c>
      <c r="D16" s="347"/>
      <c r="E16" s="347"/>
      <c r="F16" s="347" t="s">
        <v>728</v>
      </c>
      <c r="G16" s="347"/>
      <c r="H16" s="347" t="s">
        <v>729</v>
      </c>
      <c r="I16" s="347" t="s">
        <v>730</v>
      </c>
      <c r="J16" s="347"/>
      <c r="K16" s="347" t="s">
        <v>731</v>
      </c>
      <c r="L16" s="347" t="s">
        <v>732</v>
      </c>
      <c r="M16" s="347"/>
      <c r="N16" s="347" t="s">
        <v>733</v>
      </c>
      <c r="O16" s="347"/>
      <c r="P16" s="347"/>
      <c r="Q16" s="347" t="s">
        <v>734</v>
      </c>
      <c r="R16" s="347"/>
      <c r="S16" s="347"/>
      <c r="T16" s="347" t="s">
        <v>735</v>
      </c>
    </row>
    <row r="17" spans="2:20">
      <c r="B17" s="351" t="s">
        <v>234</v>
      </c>
      <c r="C17" s="347" t="s">
        <v>61</v>
      </c>
      <c r="D17" s="347" t="s">
        <v>736</v>
      </c>
      <c r="E17" s="347" t="s">
        <v>737</v>
      </c>
      <c r="F17" s="347" t="s">
        <v>738</v>
      </c>
      <c r="G17" s="347" t="s">
        <v>739</v>
      </c>
      <c r="H17" s="347" t="s">
        <v>740</v>
      </c>
      <c r="I17" s="347" t="s">
        <v>741</v>
      </c>
      <c r="J17" s="347" t="s">
        <v>742</v>
      </c>
      <c r="K17" s="347" t="s">
        <v>743</v>
      </c>
      <c r="L17" s="347" t="s">
        <v>744</v>
      </c>
      <c r="M17" s="347" t="s">
        <v>745</v>
      </c>
      <c r="N17" s="347" t="s">
        <v>746</v>
      </c>
      <c r="O17" s="347"/>
      <c r="P17" s="347" t="s">
        <v>747</v>
      </c>
      <c r="Q17" s="347" t="s">
        <v>748</v>
      </c>
      <c r="R17" s="347" t="s">
        <v>749</v>
      </c>
      <c r="S17" s="347" t="s">
        <v>750</v>
      </c>
      <c r="T17" s="347" t="s">
        <v>751</v>
      </c>
    </row>
    <row r="18" spans="2:20">
      <c r="B18" s="351" t="s">
        <v>500</v>
      </c>
      <c r="C18" s="347" t="s">
        <v>119</v>
      </c>
      <c r="D18" s="347" t="s">
        <v>752</v>
      </c>
      <c r="E18" s="347" t="s">
        <v>753</v>
      </c>
      <c r="F18" s="347" t="s">
        <v>754</v>
      </c>
      <c r="G18" s="347"/>
      <c r="H18" s="347"/>
      <c r="I18" s="347" t="s">
        <v>755</v>
      </c>
      <c r="J18" s="347" t="s">
        <v>756</v>
      </c>
      <c r="K18" s="347"/>
      <c r="L18" s="347"/>
      <c r="M18" s="347" t="s">
        <v>757</v>
      </c>
      <c r="N18" s="347" t="s">
        <v>758</v>
      </c>
      <c r="O18" s="347"/>
      <c r="P18" s="347" t="s">
        <v>759</v>
      </c>
      <c r="Q18" s="347" t="s">
        <v>760</v>
      </c>
      <c r="R18" s="347" t="s">
        <v>761</v>
      </c>
      <c r="S18" s="347"/>
      <c r="T18" s="347"/>
    </row>
    <row r="19" spans="2:20">
      <c r="B19" s="351" t="s">
        <v>762</v>
      </c>
      <c r="C19" s="347" t="s">
        <v>240</v>
      </c>
      <c r="D19" s="347" t="s">
        <v>763</v>
      </c>
      <c r="E19" s="347" t="s">
        <v>764</v>
      </c>
      <c r="F19" s="347" t="s">
        <v>765</v>
      </c>
      <c r="G19" s="347" t="s">
        <v>766</v>
      </c>
      <c r="H19" s="347" t="s">
        <v>767</v>
      </c>
      <c r="I19" s="347" t="s">
        <v>768</v>
      </c>
      <c r="J19" s="347" t="s">
        <v>769</v>
      </c>
      <c r="K19" s="347" t="s">
        <v>770</v>
      </c>
      <c r="L19" s="347" t="s">
        <v>771</v>
      </c>
      <c r="M19" s="347" t="s">
        <v>772</v>
      </c>
      <c r="N19" s="347" t="s">
        <v>773</v>
      </c>
      <c r="O19" s="347"/>
      <c r="P19" s="347" t="s">
        <v>774</v>
      </c>
      <c r="Q19" s="347" t="s">
        <v>775</v>
      </c>
      <c r="R19" s="347" t="s">
        <v>776</v>
      </c>
      <c r="S19" s="347" t="s">
        <v>777</v>
      </c>
      <c r="T19" s="347" t="s">
        <v>778</v>
      </c>
    </row>
    <row r="20" spans="2:20">
      <c r="B20" s="351" t="s">
        <v>779</v>
      </c>
      <c r="C20" s="347" t="s">
        <v>780</v>
      </c>
      <c r="D20" s="347" t="s">
        <v>781</v>
      </c>
      <c r="E20" s="347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 t="s">
        <v>782</v>
      </c>
      <c r="S20" s="347"/>
      <c r="T20" s="347"/>
    </row>
    <row r="21" spans="2:20">
      <c r="B21" s="351" t="s">
        <v>207</v>
      </c>
      <c r="C21" s="347" t="s">
        <v>54</v>
      </c>
      <c r="D21" s="347" t="s">
        <v>783</v>
      </c>
      <c r="E21" s="347" t="s">
        <v>784</v>
      </c>
      <c r="F21" s="347" t="s">
        <v>785</v>
      </c>
      <c r="G21" s="347" t="s">
        <v>786</v>
      </c>
      <c r="H21" s="347" t="s">
        <v>787</v>
      </c>
      <c r="I21" s="347" t="s">
        <v>788</v>
      </c>
      <c r="J21" s="347" t="s">
        <v>789</v>
      </c>
      <c r="K21" s="347" t="s">
        <v>790</v>
      </c>
      <c r="L21" s="347" t="s">
        <v>791</v>
      </c>
      <c r="M21" s="347" t="s">
        <v>792</v>
      </c>
      <c r="N21" s="347" t="s">
        <v>793</v>
      </c>
      <c r="O21" s="347" t="s">
        <v>794</v>
      </c>
      <c r="P21" s="347" t="s">
        <v>557</v>
      </c>
      <c r="Q21" s="347" t="s">
        <v>795</v>
      </c>
      <c r="R21" s="347" t="s">
        <v>796</v>
      </c>
      <c r="S21" s="347" t="s">
        <v>797</v>
      </c>
      <c r="T21" s="347" t="s">
        <v>798</v>
      </c>
    </row>
    <row r="22" spans="2:20">
      <c r="B22" s="351" t="s">
        <v>799</v>
      </c>
      <c r="C22" s="347" t="s">
        <v>111</v>
      </c>
      <c r="D22" s="347" t="s">
        <v>800</v>
      </c>
      <c r="E22" s="347" t="s">
        <v>801</v>
      </c>
      <c r="F22" s="347" t="s">
        <v>802</v>
      </c>
      <c r="G22" s="347"/>
      <c r="H22" s="347"/>
      <c r="I22" s="347" t="s">
        <v>803</v>
      </c>
      <c r="J22" s="347" t="s">
        <v>804</v>
      </c>
      <c r="K22" s="347"/>
      <c r="L22" s="347"/>
      <c r="M22" s="347" t="s">
        <v>805</v>
      </c>
      <c r="N22" s="347" t="s">
        <v>806</v>
      </c>
      <c r="O22" s="347"/>
      <c r="P22" s="347" t="s">
        <v>807</v>
      </c>
      <c r="Q22" s="347" t="s">
        <v>808</v>
      </c>
      <c r="R22" s="347" t="s">
        <v>809</v>
      </c>
      <c r="S22" s="347"/>
      <c r="T22" s="347"/>
    </row>
    <row r="23" spans="2:20">
      <c r="B23" s="351" t="s">
        <v>810</v>
      </c>
      <c r="C23" s="347" t="s">
        <v>811</v>
      </c>
      <c r="D23" s="347"/>
      <c r="E23" s="347" t="s">
        <v>812</v>
      </c>
      <c r="F23" s="347" t="s">
        <v>813</v>
      </c>
      <c r="G23" s="347" t="s">
        <v>814</v>
      </c>
      <c r="H23" s="347" t="s">
        <v>815</v>
      </c>
      <c r="I23" s="347" t="s">
        <v>816</v>
      </c>
      <c r="J23" s="347" t="s">
        <v>817</v>
      </c>
      <c r="K23" s="347" t="s">
        <v>818</v>
      </c>
      <c r="L23" s="347" t="s">
        <v>819</v>
      </c>
      <c r="M23" s="347" t="s">
        <v>820</v>
      </c>
      <c r="N23" s="347" t="s">
        <v>821</v>
      </c>
      <c r="O23" s="347"/>
      <c r="P23" s="347" t="s">
        <v>822</v>
      </c>
      <c r="Q23" s="347" t="s">
        <v>823</v>
      </c>
      <c r="R23" s="347" t="s">
        <v>824</v>
      </c>
      <c r="S23" s="347"/>
      <c r="T23" s="347"/>
    </row>
    <row r="24" spans="2:20">
      <c r="B24" s="351" t="s">
        <v>177</v>
      </c>
      <c r="C24" s="347" t="s">
        <v>458</v>
      </c>
      <c r="D24" s="347" t="s">
        <v>825</v>
      </c>
      <c r="E24" s="347"/>
      <c r="F24" s="347"/>
      <c r="G24" s="347"/>
      <c r="H24" s="347"/>
      <c r="I24" s="347" t="s">
        <v>826</v>
      </c>
      <c r="J24" s="347" t="s">
        <v>827</v>
      </c>
      <c r="K24" s="347"/>
      <c r="L24" s="347" t="s">
        <v>828</v>
      </c>
      <c r="M24" s="347" t="s">
        <v>829</v>
      </c>
      <c r="N24" s="347" t="s">
        <v>830</v>
      </c>
      <c r="O24" s="347" t="s">
        <v>831</v>
      </c>
      <c r="P24" s="347" t="s">
        <v>832</v>
      </c>
      <c r="Q24" s="347" t="s">
        <v>833</v>
      </c>
      <c r="R24" s="347" t="s">
        <v>834</v>
      </c>
      <c r="S24" s="347" t="s">
        <v>835</v>
      </c>
      <c r="T24" s="347"/>
    </row>
    <row r="25" spans="2:20">
      <c r="B25" s="351" t="s">
        <v>162</v>
      </c>
      <c r="C25" s="347" t="s">
        <v>163</v>
      </c>
      <c r="D25" s="347" t="s">
        <v>836</v>
      </c>
      <c r="E25" s="347" t="s">
        <v>837</v>
      </c>
      <c r="F25" s="347" t="s">
        <v>838</v>
      </c>
      <c r="G25" s="347" t="s">
        <v>839</v>
      </c>
      <c r="H25" s="347"/>
      <c r="I25" s="347" t="s">
        <v>840</v>
      </c>
      <c r="J25" s="347" t="s">
        <v>841</v>
      </c>
      <c r="K25" s="347"/>
      <c r="L25" s="347" t="s">
        <v>842</v>
      </c>
      <c r="M25" s="347" t="s">
        <v>843</v>
      </c>
      <c r="N25" s="347" t="s">
        <v>844</v>
      </c>
      <c r="O25" s="347" t="s">
        <v>845</v>
      </c>
      <c r="P25" s="347" t="s">
        <v>846</v>
      </c>
      <c r="Q25" s="347" t="s">
        <v>847</v>
      </c>
      <c r="R25" s="347" t="s">
        <v>848</v>
      </c>
      <c r="S25" s="347" t="s">
        <v>849</v>
      </c>
      <c r="T25" s="347"/>
    </row>
    <row r="26" spans="2:20" ht="30.75">
      <c r="B26" s="351" t="s">
        <v>1447</v>
      </c>
      <c r="C26" s="347" t="s">
        <v>147</v>
      </c>
      <c r="D26" s="347" t="s">
        <v>850</v>
      </c>
      <c r="E26" s="347" t="s">
        <v>851</v>
      </c>
      <c r="F26" s="347" t="s">
        <v>852</v>
      </c>
      <c r="G26" s="347" t="s">
        <v>853</v>
      </c>
      <c r="H26" s="347"/>
      <c r="I26" s="347" t="s">
        <v>854</v>
      </c>
      <c r="J26" s="347" t="s">
        <v>855</v>
      </c>
      <c r="K26" s="347"/>
      <c r="L26" s="347" t="s">
        <v>856</v>
      </c>
      <c r="M26" s="347" t="s">
        <v>857</v>
      </c>
      <c r="N26" s="347" t="s">
        <v>858</v>
      </c>
      <c r="O26" s="347"/>
      <c r="P26" s="347" t="s">
        <v>859</v>
      </c>
      <c r="Q26" s="347" t="s">
        <v>860</v>
      </c>
      <c r="R26" s="347" t="s">
        <v>861</v>
      </c>
      <c r="S26" s="347" t="s">
        <v>862</v>
      </c>
      <c r="T26" s="347"/>
    </row>
    <row r="27" spans="2:20">
      <c r="B27" s="351" t="s">
        <v>863</v>
      </c>
      <c r="C27" s="347" t="s">
        <v>864</v>
      </c>
      <c r="D27" s="347" t="s">
        <v>865</v>
      </c>
      <c r="E27" s="347"/>
      <c r="F27" s="347"/>
      <c r="G27" s="347"/>
      <c r="H27" s="347"/>
      <c r="I27" s="347"/>
      <c r="J27" s="347"/>
      <c r="K27" s="347"/>
      <c r="L27" s="347" t="s">
        <v>866</v>
      </c>
      <c r="M27" s="347" t="s">
        <v>867</v>
      </c>
      <c r="N27" s="347" t="s">
        <v>868</v>
      </c>
      <c r="O27" s="347" t="s">
        <v>869</v>
      </c>
      <c r="P27" s="347" t="s">
        <v>870</v>
      </c>
      <c r="Q27" s="347" t="s">
        <v>871</v>
      </c>
      <c r="R27" s="347" t="s">
        <v>872</v>
      </c>
      <c r="S27" s="347"/>
      <c r="T27" s="347"/>
    </row>
    <row r="28" spans="2:20">
      <c r="B28" s="351" t="s">
        <v>873</v>
      </c>
      <c r="C28" s="347" t="s">
        <v>874</v>
      </c>
      <c r="D28" s="347" t="s">
        <v>875</v>
      </c>
      <c r="E28" s="347" t="s">
        <v>876</v>
      </c>
      <c r="F28" s="347" t="s">
        <v>877</v>
      </c>
      <c r="G28" s="347" t="s">
        <v>878</v>
      </c>
      <c r="H28" s="347"/>
      <c r="I28" s="347" t="s">
        <v>879</v>
      </c>
      <c r="J28" s="347" t="s">
        <v>880</v>
      </c>
      <c r="K28" s="347"/>
      <c r="L28" s="347" t="s">
        <v>881</v>
      </c>
      <c r="M28" s="347" t="s">
        <v>882</v>
      </c>
      <c r="N28" s="347" t="s">
        <v>883</v>
      </c>
      <c r="O28" s="347" t="s">
        <v>884</v>
      </c>
      <c r="P28" s="347" t="s">
        <v>885</v>
      </c>
      <c r="Q28" s="347" t="s">
        <v>886</v>
      </c>
      <c r="R28" s="347" t="s">
        <v>887</v>
      </c>
      <c r="S28" s="347"/>
      <c r="T28" s="347"/>
    </row>
    <row r="29" spans="2:20">
      <c r="B29" s="351" t="s">
        <v>1448</v>
      </c>
      <c r="C29" s="347" t="s">
        <v>888</v>
      </c>
      <c r="D29" s="347" t="s">
        <v>889</v>
      </c>
      <c r="E29" s="347" t="s">
        <v>890</v>
      </c>
      <c r="F29" s="347" t="s">
        <v>891</v>
      </c>
      <c r="G29" s="347" t="s">
        <v>892</v>
      </c>
      <c r="H29" s="347"/>
      <c r="I29" s="347" t="s">
        <v>893</v>
      </c>
      <c r="J29" s="347" t="s">
        <v>894</v>
      </c>
      <c r="K29" s="347"/>
      <c r="L29" s="347" t="s">
        <v>895</v>
      </c>
      <c r="M29" s="347" t="s">
        <v>896</v>
      </c>
      <c r="N29" s="347" t="s">
        <v>897</v>
      </c>
      <c r="O29" s="347" t="s">
        <v>898</v>
      </c>
      <c r="P29" s="347" t="s">
        <v>899</v>
      </c>
      <c r="Q29" s="347" t="s">
        <v>900</v>
      </c>
      <c r="R29" s="347" t="s">
        <v>901</v>
      </c>
      <c r="S29" s="347" t="s">
        <v>902</v>
      </c>
      <c r="T29" s="347"/>
    </row>
    <row r="30" spans="2:20">
      <c r="B30" s="351" t="s">
        <v>1422</v>
      </c>
      <c r="C30" s="347" t="s">
        <v>228</v>
      </c>
      <c r="D30" s="347" t="s">
        <v>903</v>
      </c>
      <c r="E30" s="347"/>
      <c r="F30" s="347"/>
      <c r="G30" s="347"/>
      <c r="H30" s="347" t="s">
        <v>904</v>
      </c>
      <c r="I30" s="347" t="s">
        <v>905</v>
      </c>
      <c r="J30" s="347"/>
      <c r="K30" s="347" t="s">
        <v>906</v>
      </c>
      <c r="L30" s="347" t="s">
        <v>907</v>
      </c>
      <c r="M30" s="347" t="s">
        <v>908</v>
      </c>
      <c r="N30" s="347" t="s">
        <v>909</v>
      </c>
      <c r="O30" s="347" t="s">
        <v>910</v>
      </c>
      <c r="P30" s="347" t="s">
        <v>911</v>
      </c>
      <c r="Q30" s="347" t="s">
        <v>912</v>
      </c>
      <c r="R30" s="347" t="s">
        <v>913</v>
      </c>
      <c r="S30" s="347" t="s">
        <v>914</v>
      </c>
      <c r="T30" s="347" t="s">
        <v>915</v>
      </c>
    </row>
    <row r="31" spans="2:20">
      <c r="B31" s="351" t="s">
        <v>916</v>
      </c>
      <c r="C31" s="347" t="s">
        <v>196</v>
      </c>
      <c r="D31" s="347" t="s">
        <v>917</v>
      </c>
      <c r="E31" s="347" t="s">
        <v>918</v>
      </c>
      <c r="F31" s="347" t="s">
        <v>919</v>
      </c>
      <c r="G31" s="347"/>
      <c r="H31" s="347"/>
      <c r="I31" s="347" t="s">
        <v>920</v>
      </c>
      <c r="J31" s="347" t="s">
        <v>921</v>
      </c>
      <c r="K31" s="347"/>
      <c r="L31" s="347"/>
      <c r="M31" s="347" t="s">
        <v>922</v>
      </c>
      <c r="N31" s="347" t="s">
        <v>923</v>
      </c>
      <c r="O31" s="347"/>
      <c r="P31" s="347" t="s">
        <v>924</v>
      </c>
      <c r="Q31" s="347" t="s">
        <v>925</v>
      </c>
      <c r="R31" s="347" t="s">
        <v>926</v>
      </c>
      <c r="S31" s="347"/>
      <c r="T31" s="347"/>
    </row>
    <row r="32" spans="2:20">
      <c r="B32" s="351" t="s">
        <v>1423</v>
      </c>
      <c r="C32" s="347" t="s">
        <v>227</v>
      </c>
      <c r="D32" s="347" t="s">
        <v>927</v>
      </c>
      <c r="E32" s="347" t="s">
        <v>928</v>
      </c>
      <c r="F32" s="347" t="s">
        <v>929</v>
      </c>
      <c r="G32" s="347"/>
      <c r="H32" s="347"/>
      <c r="I32" s="347" t="s">
        <v>930</v>
      </c>
      <c r="J32" s="347" t="s">
        <v>931</v>
      </c>
      <c r="K32" s="347"/>
      <c r="L32" s="347" t="s">
        <v>932</v>
      </c>
      <c r="M32" s="347" t="s">
        <v>933</v>
      </c>
      <c r="N32" s="347" t="s">
        <v>934</v>
      </c>
      <c r="O32" s="347" t="s">
        <v>935</v>
      </c>
      <c r="P32" s="347" t="s">
        <v>936</v>
      </c>
      <c r="Q32" s="347" t="s">
        <v>937</v>
      </c>
      <c r="R32" s="347" t="s">
        <v>938</v>
      </c>
      <c r="S32" s="347" t="s">
        <v>939</v>
      </c>
      <c r="T32" s="347"/>
    </row>
    <row r="33" spans="2:20">
      <c r="B33" s="351" t="s">
        <v>940</v>
      </c>
      <c r="C33" s="347" t="s">
        <v>195</v>
      </c>
      <c r="D33" s="347" t="s">
        <v>941</v>
      </c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 t="s">
        <v>942</v>
      </c>
      <c r="Q33" s="347"/>
      <c r="R33" s="347"/>
      <c r="S33" s="347"/>
      <c r="T33" s="347"/>
    </row>
    <row r="34" spans="2:20">
      <c r="B34" s="351" t="s">
        <v>1424</v>
      </c>
      <c r="C34" s="347" t="s">
        <v>459</v>
      </c>
      <c r="D34" s="347" t="s">
        <v>943</v>
      </c>
      <c r="E34" s="347"/>
      <c r="F34" s="347"/>
      <c r="G34" s="347"/>
      <c r="H34" s="347"/>
      <c r="I34" s="347" t="s">
        <v>944</v>
      </c>
      <c r="J34" s="347" t="s">
        <v>945</v>
      </c>
      <c r="K34" s="347"/>
      <c r="L34" s="347" t="s">
        <v>946</v>
      </c>
      <c r="M34" s="347" t="s">
        <v>947</v>
      </c>
      <c r="N34" s="347" t="s">
        <v>948</v>
      </c>
      <c r="O34" s="347" t="s">
        <v>949</v>
      </c>
      <c r="P34" s="347" t="s">
        <v>950</v>
      </c>
      <c r="Q34" s="347" t="s">
        <v>951</v>
      </c>
      <c r="R34" s="347" t="s">
        <v>952</v>
      </c>
      <c r="S34" s="347" t="s">
        <v>953</v>
      </c>
      <c r="T34" s="347"/>
    </row>
    <row r="35" spans="2:20">
      <c r="B35" s="351" t="s">
        <v>1425</v>
      </c>
      <c r="C35" s="347" t="s">
        <v>155</v>
      </c>
      <c r="D35" s="347" t="s">
        <v>954</v>
      </c>
      <c r="E35" s="347" t="s">
        <v>955</v>
      </c>
      <c r="F35" s="347" t="s">
        <v>956</v>
      </c>
      <c r="G35" s="347" t="s">
        <v>957</v>
      </c>
      <c r="H35" s="347"/>
      <c r="I35" s="347" t="s">
        <v>958</v>
      </c>
      <c r="J35" s="347" t="s">
        <v>959</v>
      </c>
      <c r="K35" s="347"/>
      <c r="L35" s="347" t="s">
        <v>960</v>
      </c>
      <c r="M35" s="347" t="s">
        <v>961</v>
      </c>
      <c r="N35" s="347" t="s">
        <v>962</v>
      </c>
      <c r="O35" s="347" t="s">
        <v>963</v>
      </c>
      <c r="P35" s="347" t="s">
        <v>964</v>
      </c>
      <c r="Q35" s="347" t="s">
        <v>965</v>
      </c>
      <c r="R35" s="347" t="s">
        <v>966</v>
      </c>
      <c r="S35" s="347" t="s">
        <v>967</v>
      </c>
      <c r="T35" s="347"/>
    </row>
    <row r="36" spans="2:20">
      <c r="B36" s="351" t="s">
        <v>1426</v>
      </c>
      <c r="C36" s="347" t="s">
        <v>148</v>
      </c>
      <c r="D36" s="347" t="s">
        <v>968</v>
      </c>
      <c r="E36" s="347" t="s">
        <v>969</v>
      </c>
      <c r="F36" s="347" t="s">
        <v>970</v>
      </c>
      <c r="G36" s="347"/>
      <c r="H36" s="347"/>
      <c r="I36" s="347"/>
      <c r="J36" s="347"/>
      <c r="K36" s="347"/>
      <c r="L36" s="347" t="s">
        <v>971</v>
      </c>
      <c r="M36" s="347" t="s">
        <v>972</v>
      </c>
      <c r="N36" s="347" t="s">
        <v>973</v>
      </c>
      <c r="O36" s="347" t="s">
        <v>974</v>
      </c>
      <c r="P36" s="347" t="s">
        <v>975</v>
      </c>
      <c r="Q36" s="347" t="s">
        <v>976</v>
      </c>
      <c r="R36" s="347" t="s">
        <v>977</v>
      </c>
      <c r="S36" s="347" t="s">
        <v>978</v>
      </c>
      <c r="T36" s="347"/>
    </row>
    <row r="37" spans="2:20">
      <c r="B37" s="351" t="s">
        <v>1427</v>
      </c>
      <c r="C37" s="347" t="s">
        <v>979</v>
      </c>
      <c r="D37" s="347" t="s">
        <v>980</v>
      </c>
      <c r="E37" s="347"/>
      <c r="F37" s="347"/>
      <c r="G37" s="347"/>
      <c r="H37" s="347"/>
      <c r="I37" s="347" t="s">
        <v>981</v>
      </c>
      <c r="J37" s="347" t="s">
        <v>982</v>
      </c>
      <c r="K37" s="347"/>
      <c r="L37" s="347" t="s">
        <v>983</v>
      </c>
      <c r="M37" s="347" t="s">
        <v>984</v>
      </c>
      <c r="N37" s="347" t="s">
        <v>985</v>
      </c>
      <c r="O37" s="347" t="s">
        <v>986</v>
      </c>
      <c r="P37" s="347" t="s">
        <v>987</v>
      </c>
      <c r="Q37" s="347" t="s">
        <v>988</v>
      </c>
      <c r="R37" s="347" t="s">
        <v>989</v>
      </c>
      <c r="S37" s="347" t="s">
        <v>990</v>
      </c>
      <c r="T37" s="347"/>
    </row>
    <row r="38" spans="2:20">
      <c r="B38" s="351" t="s">
        <v>1428</v>
      </c>
      <c r="C38" s="347" t="s">
        <v>991</v>
      </c>
      <c r="D38" s="347" t="s">
        <v>992</v>
      </c>
      <c r="E38" s="347" t="s">
        <v>993</v>
      </c>
      <c r="F38" s="347" t="s">
        <v>994</v>
      </c>
      <c r="G38" s="347" t="s">
        <v>995</v>
      </c>
      <c r="H38" s="347"/>
      <c r="I38" s="347" t="s">
        <v>996</v>
      </c>
      <c r="J38" s="347" t="s">
        <v>997</v>
      </c>
      <c r="K38" s="347"/>
      <c r="L38" s="347" t="s">
        <v>998</v>
      </c>
      <c r="M38" s="347" t="s">
        <v>999</v>
      </c>
      <c r="N38" s="347" t="s">
        <v>1000</v>
      </c>
      <c r="O38" s="347" t="s">
        <v>1001</v>
      </c>
      <c r="P38" s="347" t="s">
        <v>1002</v>
      </c>
      <c r="Q38" s="347" t="s">
        <v>1003</v>
      </c>
      <c r="R38" s="347" t="s">
        <v>1004</v>
      </c>
      <c r="S38" s="347" t="s">
        <v>1005</v>
      </c>
      <c r="T38" s="347"/>
    </row>
    <row r="39" spans="2:20">
      <c r="B39" s="351" t="s">
        <v>1429</v>
      </c>
      <c r="C39" s="347" t="s">
        <v>1006</v>
      </c>
      <c r="D39" s="347"/>
      <c r="E39" s="347" t="s">
        <v>1007</v>
      </c>
      <c r="F39" s="347" t="s">
        <v>1008</v>
      </c>
      <c r="G39" s="347"/>
      <c r="H39" s="347"/>
      <c r="I39" s="347" t="s">
        <v>1009</v>
      </c>
      <c r="J39" s="347"/>
      <c r="K39" s="347"/>
      <c r="L39" s="347"/>
      <c r="M39" s="347"/>
      <c r="N39" s="347" t="s">
        <v>1010</v>
      </c>
      <c r="O39" s="347"/>
      <c r="P39" s="347" t="s">
        <v>1011</v>
      </c>
      <c r="Q39" s="347"/>
      <c r="R39" s="347" t="s">
        <v>1012</v>
      </c>
      <c r="S39" s="347"/>
      <c r="T39" s="347"/>
    </row>
    <row r="40" spans="2:20">
      <c r="B40" s="351" t="s">
        <v>1430</v>
      </c>
      <c r="C40" s="347" t="s">
        <v>222</v>
      </c>
      <c r="D40" s="347" t="s">
        <v>1013</v>
      </c>
      <c r="E40" s="347" t="s">
        <v>1014</v>
      </c>
      <c r="F40" s="347" t="s">
        <v>1015</v>
      </c>
      <c r="G40" s="347" t="s">
        <v>1016</v>
      </c>
      <c r="H40" s="347" t="s">
        <v>1017</v>
      </c>
      <c r="I40" s="347" t="s">
        <v>1018</v>
      </c>
      <c r="J40" s="347" t="s">
        <v>1019</v>
      </c>
      <c r="K40" s="347" t="s">
        <v>1020</v>
      </c>
      <c r="L40" s="347" t="s">
        <v>1021</v>
      </c>
      <c r="M40" s="347" t="s">
        <v>1022</v>
      </c>
      <c r="N40" s="347" t="s">
        <v>1023</v>
      </c>
      <c r="O40" s="347" t="s">
        <v>1024</v>
      </c>
      <c r="P40" s="347" t="s">
        <v>1025</v>
      </c>
      <c r="Q40" s="347" t="s">
        <v>1026</v>
      </c>
      <c r="R40" s="347" t="s">
        <v>1027</v>
      </c>
      <c r="S40" s="347" t="s">
        <v>1028</v>
      </c>
      <c r="T40" s="347" t="s">
        <v>1029</v>
      </c>
    </row>
    <row r="41" spans="2:20">
      <c r="B41" s="351" t="s">
        <v>1431</v>
      </c>
      <c r="C41" s="347" t="s">
        <v>191</v>
      </c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</row>
    <row r="42" spans="2:20">
      <c r="B42" s="351" t="s">
        <v>1432</v>
      </c>
      <c r="C42" s="347" t="s">
        <v>221</v>
      </c>
      <c r="D42" s="347" t="s">
        <v>1030</v>
      </c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 t="s">
        <v>1031</v>
      </c>
      <c r="S42" s="347"/>
      <c r="T42" s="347" t="s">
        <v>1032</v>
      </c>
    </row>
    <row r="43" spans="2:20">
      <c r="B43" s="351" t="s">
        <v>1433</v>
      </c>
      <c r="C43" s="347" t="s">
        <v>225</v>
      </c>
      <c r="D43" s="347" t="s">
        <v>1033</v>
      </c>
      <c r="E43" s="347" t="s">
        <v>1034</v>
      </c>
      <c r="F43" s="347" t="s">
        <v>1035</v>
      </c>
      <c r="G43" s="347" t="s">
        <v>1036</v>
      </c>
      <c r="H43" s="347"/>
      <c r="I43" s="347" t="s">
        <v>1037</v>
      </c>
      <c r="J43" s="347" t="s">
        <v>1038</v>
      </c>
      <c r="K43" s="347"/>
      <c r="L43" s="347" t="s">
        <v>1039</v>
      </c>
      <c r="M43" s="347" t="s">
        <v>1040</v>
      </c>
      <c r="N43" s="347" t="s">
        <v>1041</v>
      </c>
      <c r="O43" s="347" t="s">
        <v>1042</v>
      </c>
      <c r="P43" s="347" t="s">
        <v>1043</v>
      </c>
      <c r="Q43" s="347" t="s">
        <v>1044</v>
      </c>
      <c r="R43" s="347" t="s">
        <v>1045</v>
      </c>
      <c r="S43" s="347" t="s">
        <v>1046</v>
      </c>
      <c r="T43" s="347"/>
    </row>
    <row r="44" spans="2:20">
      <c r="B44" s="351" t="s">
        <v>1434</v>
      </c>
      <c r="C44" s="347" t="s">
        <v>193</v>
      </c>
      <c r="D44" s="347" t="s">
        <v>1047</v>
      </c>
      <c r="E44" s="347"/>
      <c r="F44" s="347"/>
      <c r="G44" s="347"/>
      <c r="H44" s="347"/>
      <c r="I44" s="347" t="s">
        <v>1048</v>
      </c>
      <c r="J44" s="347"/>
      <c r="K44" s="347"/>
      <c r="L44" s="347"/>
      <c r="M44" s="347" t="s">
        <v>1049</v>
      </c>
      <c r="N44" s="347" t="s">
        <v>1050</v>
      </c>
      <c r="O44" s="347"/>
      <c r="P44" s="347" t="s">
        <v>1051</v>
      </c>
      <c r="Q44" s="347" t="s">
        <v>1052</v>
      </c>
      <c r="R44" s="347" t="s">
        <v>1053</v>
      </c>
      <c r="S44" s="347"/>
      <c r="T44" s="347"/>
    </row>
    <row r="45" spans="2:20">
      <c r="B45" s="351" t="s">
        <v>1435</v>
      </c>
      <c r="C45" s="347" t="s">
        <v>224</v>
      </c>
      <c r="D45" s="347" t="s">
        <v>1054</v>
      </c>
      <c r="E45" s="347"/>
      <c r="F45" s="347"/>
      <c r="G45" s="347"/>
      <c r="H45" s="347"/>
      <c r="I45" s="347" t="s">
        <v>1055</v>
      </c>
      <c r="J45" s="347"/>
      <c r="K45" s="347"/>
      <c r="L45" s="347" t="s">
        <v>1056</v>
      </c>
      <c r="M45" s="347" t="s">
        <v>1057</v>
      </c>
      <c r="N45" s="347" t="s">
        <v>1058</v>
      </c>
      <c r="O45" s="347"/>
      <c r="P45" s="347" t="s">
        <v>1059</v>
      </c>
      <c r="Q45" s="347" t="s">
        <v>1060</v>
      </c>
      <c r="R45" s="347" t="s">
        <v>1061</v>
      </c>
      <c r="S45" s="347" t="s">
        <v>1062</v>
      </c>
      <c r="T45" s="347"/>
    </row>
    <row r="46" spans="2:20">
      <c r="B46" s="351" t="s">
        <v>1436</v>
      </c>
      <c r="C46" s="347" t="s">
        <v>146</v>
      </c>
      <c r="D46" s="347" t="s">
        <v>1063</v>
      </c>
      <c r="E46" s="347"/>
      <c r="F46" s="347"/>
      <c r="G46" s="347"/>
      <c r="H46" s="347"/>
      <c r="I46" s="347" t="s">
        <v>1064</v>
      </c>
      <c r="J46" s="347" t="s">
        <v>1065</v>
      </c>
      <c r="K46" s="347"/>
      <c r="L46" s="347" t="s">
        <v>1066</v>
      </c>
      <c r="M46" s="347" t="s">
        <v>1067</v>
      </c>
      <c r="N46" s="347" t="s">
        <v>1068</v>
      </c>
      <c r="O46" s="347" t="s">
        <v>1069</v>
      </c>
      <c r="P46" s="347" t="s">
        <v>1070</v>
      </c>
      <c r="Q46" s="347" t="s">
        <v>1071</v>
      </c>
      <c r="R46" s="347" t="s">
        <v>1072</v>
      </c>
      <c r="S46" s="347" t="s">
        <v>1073</v>
      </c>
      <c r="T46" s="347"/>
    </row>
    <row r="47" spans="2:20">
      <c r="B47" s="351" t="s">
        <v>1437</v>
      </c>
      <c r="C47" s="347" t="s">
        <v>1074</v>
      </c>
      <c r="D47" s="347" t="s">
        <v>1075</v>
      </c>
      <c r="E47" s="347"/>
      <c r="F47" s="347"/>
      <c r="G47" s="347"/>
      <c r="H47" s="347"/>
      <c r="I47" s="347" t="s">
        <v>1076</v>
      </c>
      <c r="J47" s="347" t="s">
        <v>1077</v>
      </c>
      <c r="K47" s="347"/>
      <c r="L47" s="347" t="s">
        <v>1078</v>
      </c>
      <c r="M47" s="347" t="s">
        <v>1079</v>
      </c>
      <c r="N47" s="347" t="s">
        <v>1080</v>
      </c>
      <c r="O47" s="347" t="s">
        <v>1081</v>
      </c>
      <c r="P47" s="347" t="s">
        <v>1082</v>
      </c>
      <c r="Q47" s="347" t="s">
        <v>1083</v>
      </c>
      <c r="R47" s="347" t="s">
        <v>1084</v>
      </c>
      <c r="S47" s="347" t="s">
        <v>1085</v>
      </c>
      <c r="T47" s="347"/>
    </row>
    <row r="48" spans="2:20">
      <c r="B48" s="351" t="s">
        <v>229</v>
      </c>
      <c r="C48" s="347" t="s">
        <v>230</v>
      </c>
      <c r="D48" s="347" t="s">
        <v>1086</v>
      </c>
      <c r="E48" s="347" t="s">
        <v>1087</v>
      </c>
      <c r="F48" s="347"/>
      <c r="G48" s="347" t="s">
        <v>1088</v>
      </c>
      <c r="H48" s="347"/>
      <c r="I48" s="347" t="s">
        <v>1089</v>
      </c>
      <c r="J48" s="347" t="s">
        <v>1090</v>
      </c>
      <c r="K48" s="347" t="s">
        <v>1091</v>
      </c>
      <c r="L48" s="347" t="s">
        <v>1092</v>
      </c>
      <c r="M48" s="347" t="s">
        <v>1093</v>
      </c>
      <c r="N48" s="347" t="s">
        <v>1094</v>
      </c>
      <c r="O48" s="347" t="s">
        <v>1095</v>
      </c>
      <c r="P48" s="347" t="s">
        <v>1096</v>
      </c>
      <c r="Q48" s="347" t="s">
        <v>1097</v>
      </c>
      <c r="R48" s="347" t="s">
        <v>1098</v>
      </c>
      <c r="S48" s="347" t="s">
        <v>1099</v>
      </c>
      <c r="T48" s="347" t="s">
        <v>1100</v>
      </c>
    </row>
    <row r="49" spans="2:20">
      <c r="B49" s="351" t="s">
        <v>1101</v>
      </c>
      <c r="C49" s="347" t="s">
        <v>198</v>
      </c>
      <c r="D49" s="347" t="s">
        <v>1102</v>
      </c>
      <c r="E49" s="347"/>
      <c r="F49" s="347"/>
      <c r="G49" s="347"/>
      <c r="H49" s="347"/>
      <c r="I49" s="347" t="s">
        <v>1103</v>
      </c>
      <c r="J49" s="347"/>
      <c r="K49" s="347"/>
      <c r="L49" s="347"/>
      <c r="M49" s="347" t="s">
        <v>1104</v>
      </c>
      <c r="N49" s="347" t="s">
        <v>1105</v>
      </c>
      <c r="O49" s="347"/>
      <c r="P49" s="347" t="s">
        <v>1106</v>
      </c>
      <c r="Q49" s="347" t="s">
        <v>1107</v>
      </c>
      <c r="R49" s="347" t="s">
        <v>1108</v>
      </c>
      <c r="S49" s="347"/>
      <c r="T49" s="347"/>
    </row>
    <row r="50" spans="2:20">
      <c r="B50" s="351" t="s">
        <v>1109</v>
      </c>
      <c r="C50" s="347" t="s">
        <v>1110</v>
      </c>
      <c r="D50" s="347" t="s">
        <v>1111</v>
      </c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</row>
    <row r="51" spans="2:20">
      <c r="B51" s="351" t="s">
        <v>1112</v>
      </c>
      <c r="C51" s="347" t="s">
        <v>284</v>
      </c>
      <c r="D51" s="347" t="s">
        <v>1113</v>
      </c>
      <c r="E51" s="347" t="s">
        <v>1114</v>
      </c>
      <c r="F51" s="347" t="s">
        <v>1115</v>
      </c>
      <c r="G51" s="347" t="s">
        <v>1116</v>
      </c>
      <c r="H51" s="347"/>
      <c r="I51" s="347" t="s">
        <v>1117</v>
      </c>
      <c r="J51" s="347" t="s">
        <v>1118</v>
      </c>
      <c r="K51" s="347"/>
      <c r="L51" s="347" t="s">
        <v>1119</v>
      </c>
      <c r="M51" s="347" t="s">
        <v>1120</v>
      </c>
      <c r="N51" s="347" t="s">
        <v>1121</v>
      </c>
      <c r="O51" s="347"/>
      <c r="P51" s="347" t="s">
        <v>1122</v>
      </c>
      <c r="Q51" s="347" t="s">
        <v>1123</v>
      </c>
      <c r="R51" s="347" t="s">
        <v>1124</v>
      </c>
      <c r="S51" s="347" t="s">
        <v>1125</v>
      </c>
      <c r="T51" s="347"/>
    </row>
    <row r="52" spans="2:20">
      <c r="B52" s="351" t="s">
        <v>485</v>
      </c>
      <c r="C52" s="347" t="s">
        <v>67</v>
      </c>
      <c r="D52" s="347" t="s">
        <v>1126</v>
      </c>
      <c r="E52" s="347" t="s">
        <v>1127</v>
      </c>
      <c r="F52" s="347" t="s">
        <v>1128</v>
      </c>
      <c r="G52" s="347" t="s">
        <v>1129</v>
      </c>
      <c r="H52" s="347" t="s">
        <v>1130</v>
      </c>
      <c r="I52" s="347" t="s">
        <v>1131</v>
      </c>
      <c r="J52" s="347" t="s">
        <v>1132</v>
      </c>
      <c r="K52" s="347" t="s">
        <v>1133</v>
      </c>
      <c r="L52" s="347" t="s">
        <v>1134</v>
      </c>
      <c r="M52" s="347" t="s">
        <v>1135</v>
      </c>
      <c r="N52" s="347" t="s">
        <v>1136</v>
      </c>
      <c r="O52" s="347"/>
      <c r="P52" s="347" t="s">
        <v>1137</v>
      </c>
      <c r="Q52" s="347" t="s">
        <v>1138</v>
      </c>
      <c r="R52" s="347" t="s">
        <v>1139</v>
      </c>
      <c r="S52" s="347" t="s">
        <v>1140</v>
      </c>
      <c r="T52" s="347" t="s">
        <v>1141</v>
      </c>
    </row>
    <row r="53" spans="2:20">
      <c r="B53" s="351" t="s">
        <v>503</v>
      </c>
      <c r="C53" s="347" t="s">
        <v>121</v>
      </c>
      <c r="D53" s="347" t="s">
        <v>1142</v>
      </c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 t="s">
        <v>1143</v>
      </c>
      <c r="R53" s="347"/>
      <c r="S53" s="347"/>
      <c r="T53" s="347"/>
    </row>
    <row r="54" spans="2:20">
      <c r="B54" s="351" t="s">
        <v>1438</v>
      </c>
      <c r="C54" s="347" t="s">
        <v>1144</v>
      </c>
      <c r="D54" s="347" t="s">
        <v>1145</v>
      </c>
      <c r="E54" s="347" t="s">
        <v>1146</v>
      </c>
      <c r="F54" s="347" t="s">
        <v>1147</v>
      </c>
      <c r="G54" s="347" t="s">
        <v>1148</v>
      </c>
      <c r="H54" s="347"/>
      <c r="I54" s="347" t="s">
        <v>1149</v>
      </c>
      <c r="J54" s="347" t="s">
        <v>1150</v>
      </c>
      <c r="K54" s="347"/>
      <c r="L54" s="347" t="s">
        <v>1151</v>
      </c>
      <c r="M54" s="347" t="s">
        <v>1152</v>
      </c>
      <c r="N54" s="347" t="s">
        <v>1153</v>
      </c>
      <c r="O54" s="347"/>
      <c r="P54" s="347" t="s">
        <v>1154</v>
      </c>
      <c r="Q54" s="347" t="s">
        <v>1155</v>
      </c>
      <c r="R54" s="347"/>
      <c r="S54" s="347"/>
      <c r="T54" s="347"/>
    </row>
    <row r="55" spans="2:20">
      <c r="B55" s="351" t="s">
        <v>1439</v>
      </c>
      <c r="C55" s="347" t="s">
        <v>238</v>
      </c>
      <c r="D55" s="347" t="s">
        <v>1156</v>
      </c>
      <c r="E55" s="347"/>
      <c r="F55" s="347"/>
      <c r="G55" s="347"/>
      <c r="H55" s="347" t="s">
        <v>1157</v>
      </c>
      <c r="I55" s="347" t="s">
        <v>1158</v>
      </c>
      <c r="J55" s="347"/>
      <c r="K55" s="347"/>
      <c r="L55" s="347" t="s">
        <v>1159</v>
      </c>
      <c r="M55" s="347"/>
      <c r="N55" s="347"/>
      <c r="O55" s="347"/>
      <c r="P55" s="347"/>
      <c r="Q55" s="347" t="s">
        <v>1160</v>
      </c>
      <c r="R55" s="347"/>
      <c r="S55" s="347"/>
      <c r="T55" s="347"/>
    </row>
    <row r="56" spans="2:20">
      <c r="B56" s="351" t="s">
        <v>1440</v>
      </c>
      <c r="C56" s="347" t="s">
        <v>1161</v>
      </c>
      <c r="D56" s="347" t="s">
        <v>1162</v>
      </c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</row>
    <row r="57" spans="2:20">
      <c r="B57" s="351" t="s">
        <v>1441</v>
      </c>
      <c r="C57" s="347" t="s">
        <v>125</v>
      </c>
      <c r="D57" s="347"/>
      <c r="E57" s="347"/>
      <c r="F57" s="347"/>
      <c r="G57" s="347"/>
      <c r="H57" s="347"/>
      <c r="I57" s="347" t="s">
        <v>1163</v>
      </c>
      <c r="J57" s="347"/>
      <c r="K57" s="347"/>
      <c r="L57" s="347"/>
      <c r="M57" s="347"/>
      <c r="N57" s="347"/>
      <c r="O57" s="347"/>
      <c r="P57" s="347" t="s">
        <v>1164</v>
      </c>
      <c r="Q57" s="347"/>
      <c r="R57" s="347"/>
      <c r="S57" s="347"/>
      <c r="T57" s="347"/>
    </row>
    <row r="58" spans="2:20">
      <c r="B58" s="351" t="s">
        <v>525</v>
      </c>
      <c r="C58" s="347" t="s">
        <v>101</v>
      </c>
      <c r="D58" s="347" t="s">
        <v>1165</v>
      </c>
      <c r="E58" s="347" t="s">
        <v>1166</v>
      </c>
      <c r="F58" s="347" t="s">
        <v>1167</v>
      </c>
      <c r="G58" s="347" t="s">
        <v>1168</v>
      </c>
      <c r="H58" s="347"/>
      <c r="I58" s="347" t="s">
        <v>1169</v>
      </c>
      <c r="J58" s="347" t="s">
        <v>1170</v>
      </c>
      <c r="K58" s="347"/>
      <c r="L58" s="347" t="s">
        <v>1171</v>
      </c>
      <c r="M58" s="347" t="s">
        <v>1172</v>
      </c>
      <c r="N58" s="347" t="s">
        <v>1173</v>
      </c>
      <c r="O58" s="347"/>
      <c r="P58" s="347" t="s">
        <v>1174</v>
      </c>
      <c r="Q58" s="347" t="s">
        <v>1175</v>
      </c>
      <c r="R58" s="347" t="s">
        <v>1176</v>
      </c>
      <c r="S58" s="347" t="s">
        <v>1177</v>
      </c>
      <c r="T58" s="347"/>
    </row>
    <row r="59" spans="2:20">
      <c r="B59" s="351" t="s">
        <v>1442</v>
      </c>
      <c r="C59" s="347" t="s">
        <v>1178</v>
      </c>
      <c r="D59" s="347" t="s">
        <v>1179</v>
      </c>
      <c r="E59" s="347"/>
      <c r="F59" s="347"/>
      <c r="G59" s="347"/>
      <c r="H59" s="347"/>
      <c r="I59" s="347"/>
      <c r="J59" s="347"/>
      <c r="K59" s="347"/>
      <c r="L59" s="347" t="s">
        <v>1180</v>
      </c>
      <c r="M59" s="347"/>
      <c r="N59" s="347"/>
      <c r="O59" s="347"/>
      <c r="P59" s="347"/>
      <c r="Q59" s="347" t="s">
        <v>1181</v>
      </c>
      <c r="R59" s="347"/>
      <c r="S59" s="347"/>
      <c r="T59" s="347"/>
    </row>
    <row r="60" spans="2:20">
      <c r="B60" s="351" t="s">
        <v>1443</v>
      </c>
      <c r="C60" s="347" t="s">
        <v>1182</v>
      </c>
      <c r="D60" s="347" t="s">
        <v>1183</v>
      </c>
      <c r="E60" s="347" t="s">
        <v>1184</v>
      </c>
      <c r="F60" s="347" t="s">
        <v>1185</v>
      </c>
      <c r="G60" s="347" t="s">
        <v>1186</v>
      </c>
      <c r="H60" s="347"/>
      <c r="I60" s="347" t="s">
        <v>1187</v>
      </c>
      <c r="J60" s="347" t="s">
        <v>1188</v>
      </c>
      <c r="K60" s="347"/>
      <c r="L60" s="347" t="s">
        <v>1189</v>
      </c>
      <c r="M60" s="347" t="s">
        <v>1190</v>
      </c>
      <c r="N60" s="347" t="s">
        <v>1191</v>
      </c>
      <c r="O60" s="347"/>
      <c r="P60" s="347" t="s">
        <v>1192</v>
      </c>
      <c r="Q60" s="347" t="s">
        <v>1193</v>
      </c>
      <c r="R60" s="347" t="s">
        <v>1194</v>
      </c>
      <c r="S60" s="347" t="s">
        <v>1195</v>
      </c>
      <c r="T60" s="347"/>
    </row>
    <row r="61" spans="2:20">
      <c r="B61" s="351" t="s">
        <v>170</v>
      </c>
      <c r="C61" s="347" t="s">
        <v>56</v>
      </c>
      <c r="D61" s="347" t="s">
        <v>1196</v>
      </c>
      <c r="E61" s="347" t="s">
        <v>1197</v>
      </c>
      <c r="F61" s="347" t="s">
        <v>1198</v>
      </c>
      <c r="G61" s="347" t="s">
        <v>1199</v>
      </c>
      <c r="H61" s="347"/>
      <c r="I61" s="347" t="s">
        <v>1200</v>
      </c>
      <c r="J61" s="347" t="s">
        <v>1201</v>
      </c>
      <c r="K61" s="347"/>
      <c r="L61" s="347" t="s">
        <v>1202</v>
      </c>
      <c r="M61" s="347" t="s">
        <v>1203</v>
      </c>
      <c r="N61" s="347" t="s">
        <v>1204</v>
      </c>
      <c r="O61" s="347" t="s">
        <v>1205</v>
      </c>
      <c r="P61" s="347" t="s">
        <v>1206</v>
      </c>
      <c r="Q61" s="347" t="s">
        <v>1207</v>
      </c>
      <c r="R61" s="347" t="s">
        <v>1208</v>
      </c>
      <c r="S61" s="347" t="s">
        <v>1209</v>
      </c>
      <c r="T61" s="347"/>
    </row>
    <row r="62" spans="2:20">
      <c r="B62" s="351" t="s">
        <v>1210</v>
      </c>
      <c r="C62" s="347" t="s">
        <v>1211</v>
      </c>
      <c r="D62" s="347"/>
      <c r="E62" s="347" t="s">
        <v>1212</v>
      </c>
      <c r="F62" s="347" t="s">
        <v>1213</v>
      </c>
      <c r="G62" s="347" t="s">
        <v>1214</v>
      </c>
      <c r="H62" s="347"/>
      <c r="I62" s="347" t="s">
        <v>1215</v>
      </c>
      <c r="J62" s="347" t="s">
        <v>1216</v>
      </c>
      <c r="K62" s="347"/>
      <c r="L62" s="347" t="s">
        <v>1217</v>
      </c>
      <c r="M62" s="347" t="s">
        <v>1218</v>
      </c>
      <c r="N62" s="347" t="s">
        <v>1219</v>
      </c>
      <c r="O62" s="347"/>
      <c r="P62" s="347" t="s">
        <v>1220</v>
      </c>
      <c r="Q62" s="347"/>
      <c r="R62" s="347" t="s">
        <v>1221</v>
      </c>
      <c r="S62" s="347"/>
      <c r="T62" s="347"/>
    </row>
    <row r="63" spans="2:20">
      <c r="B63" s="351" t="s">
        <v>159</v>
      </c>
      <c r="C63" s="347" t="s">
        <v>160</v>
      </c>
      <c r="D63" s="347" t="s">
        <v>1222</v>
      </c>
      <c r="E63" s="347" t="s">
        <v>1223</v>
      </c>
      <c r="F63" s="347" t="s">
        <v>1224</v>
      </c>
      <c r="G63" s="347" t="s">
        <v>1225</v>
      </c>
      <c r="H63" s="347"/>
      <c r="I63" s="347" t="s">
        <v>1226</v>
      </c>
      <c r="J63" s="347" t="s">
        <v>1227</v>
      </c>
      <c r="K63" s="347"/>
      <c r="L63" s="347" t="s">
        <v>1228</v>
      </c>
      <c r="M63" s="347" t="s">
        <v>1229</v>
      </c>
      <c r="N63" s="347" t="s">
        <v>1230</v>
      </c>
      <c r="O63" s="347" t="s">
        <v>1231</v>
      </c>
      <c r="P63" s="347" t="s">
        <v>1232</v>
      </c>
      <c r="Q63" s="347" t="s">
        <v>1233</v>
      </c>
      <c r="R63" s="347" t="s">
        <v>1234</v>
      </c>
      <c r="S63" s="347" t="s">
        <v>1235</v>
      </c>
      <c r="T63" s="347"/>
    </row>
    <row r="64" spans="2:20">
      <c r="B64" s="351" t="s">
        <v>1236</v>
      </c>
      <c r="C64" s="347" t="s">
        <v>1237</v>
      </c>
      <c r="D64" s="347" t="s">
        <v>1238</v>
      </c>
      <c r="E64" s="347" t="s">
        <v>1239</v>
      </c>
      <c r="F64" s="347" t="s">
        <v>1240</v>
      </c>
      <c r="G64" s="347" t="s">
        <v>1241</v>
      </c>
      <c r="H64" s="347"/>
      <c r="I64" s="347" t="s">
        <v>1242</v>
      </c>
      <c r="J64" s="347" t="s">
        <v>1243</v>
      </c>
      <c r="K64" s="347"/>
      <c r="L64" s="347" t="s">
        <v>1244</v>
      </c>
      <c r="M64" s="347" t="s">
        <v>1245</v>
      </c>
      <c r="N64" s="347" t="s">
        <v>1246</v>
      </c>
      <c r="O64" s="347"/>
      <c r="P64" s="347" t="s">
        <v>1247</v>
      </c>
      <c r="Q64" s="347" t="s">
        <v>1248</v>
      </c>
      <c r="R64" s="347" t="s">
        <v>1249</v>
      </c>
      <c r="S64" s="347"/>
      <c r="T64" s="347"/>
    </row>
    <row r="65" spans="2:20">
      <c r="B65" s="351" t="s">
        <v>215</v>
      </c>
      <c r="C65" s="347" t="s">
        <v>217</v>
      </c>
      <c r="D65" s="347" t="s">
        <v>1250</v>
      </c>
      <c r="E65" s="347" t="s">
        <v>1251</v>
      </c>
      <c r="F65" s="347" t="s">
        <v>1252</v>
      </c>
      <c r="G65" s="347" t="s">
        <v>1253</v>
      </c>
      <c r="H65" s="347" t="s">
        <v>1254</v>
      </c>
      <c r="I65" s="347" t="s">
        <v>1255</v>
      </c>
      <c r="J65" s="347" t="s">
        <v>1256</v>
      </c>
      <c r="K65" s="347" t="s">
        <v>1257</v>
      </c>
      <c r="L65" s="347" t="s">
        <v>1258</v>
      </c>
      <c r="M65" s="347" t="s">
        <v>1259</v>
      </c>
      <c r="N65" s="347" t="s">
        <v>1260</v>
      </c>
      <c r="O65" s="347" t="s">
        <v>1261</v>
      </c>
      <c r="P65" s="347" t="s">
        <v>1262</v>
      </c>
      <c r="Q65" s="347" t="s">
        <v>1263</v>
      </c>
      <c r="R65" s="347" t="s">
        <v>1264</v>
      </c>
      <c r="S65" s="347" t="s">
        <v>1265</v>
      </c>
      <c r="T65" s="347"/>
    </row>
    <row r="66" spans="2:20">
      <c r="B66" s="351" t="s">
        <v>1266</v>
      </c>
      <c r="C66" s="347" t="s">
        <v>187</v>
      </c>
      <c r="D66" s="347" t="s">
        <v>1267</v>
      </c>
      <c r="E66" s="347" t="s">
        <v>1268</v>
      </c>
      <c r="F66" s="347" t="s">
        <v>1269</v>
      </c>
      <c r="G66" s="347"/>
      <c r="H66" s="347"/>
      <c r="I66" s="347" t="s">
        <v>1270</v>
      </c>
      <c r="J66" s="347" t="s">
        <v>1271</v>
      </c>
      <c r="K66" s="347"/>
      <c r="L66" s="347"/>
      <c r="M66" s="347" t="s">
        <v>1272</v>
      </c>
      <c r="N66" s="347" t="s">
        <v>1273</v>
      </c>
      <c r="O66" s="347"/>
      <c r="P66" s="347" t="s">
        <v>1274</v>
      </c>
      <c r="Q66" s="347" t="s">
        <v>1275</v>
      </c>
      <c r="R66" s="347" t="s">
        <v>1276</v>
      </c>
      <c r="S66" s="347"/>
      <c r="T66" s="347"/>
    </row>
    <row r="67" spans="2:20">
      <c r="B67" s="351" t="s">
        <v>1277</v>
      </c>
      <c r="C67" s="347" t="s">
        <v>216</v>
      </c>
      <c r="D67" s="347" t="s">
        <v>1278</v>
      </c>
      <c r="E67" s="347" t="s">
        <v>1279</v>
      </c>
      <c r="F67" s="347" t="s">
        <v>1280</v>
      </c>
      <c r="G67" s="347" t="s">
        <v>1281</v>
      </c>
      <c r="H67" s="347"/>
      <c r="I67" s="347" t="s">
        <v>1282</v>
      </c>
      <c r="J67" s="347" t="s">
        <v>1283</v>
      </c>
      <c r="K67" s="347"/>
      <c r="L67" s="347" t="s">
        <v>1284</v>
      </c>
      <c r="M67" s="347" t="s">
        <v>1285</v>
      </c>
      <c r="N67" s="347" t="s">
        <v>1286</v>
      </c>
      <c r="O67" s="347" t="s">
        <v>1287</v>
      </c>
      <c r="P67" s="347" t="s">
        <v>1288</v>
      </c>
      <c r="Q67" s="347" t="s">
        <v>1289</v>
      </c>
      <c r="R67" s="347" t="s">
        <v>1290</v>
      </c>
      <c r="S67" s="347"/>
      <c r="T67" s="347"/>
    </row>
    <row r="68" spans="2:20">
      <c r="B68" s="351" t="s">
        <v>152</v>
      </c>
      <c r="C68" s="347" t="s">
        <v>153</v>
      </c>
      <c r="D68" s="347" t="s">
        <v>1291</v>
      </c>
      <c r="E68" s="347" t="s">
        <v>1292</v>
      </c>
      <c r="F68" s="347" t="s">
        <v>1293</v>
      </c>
      <c r="G68" s="347" t="s">
        <v>1294</v>
      </c>
      <c r="H68" s="347"/>
      <c r="I68" s="347" t="s">
        <v>1295</v>
      </c>
      <c r="J68" s="347" t="s">
        <v>1296</v>
      </c>
      <c r="K68" s="347"/>
      <c r="L68" s="347" t="s">
        <v>1297</v>
      </c>
      <c r="M68" s="347" t="s">
        <v>1298</v>
      </c>
      <c r="N68" s="347" t="s">
        <v>1299</v>
      </c>
      <c r="O68" s="347"/>
      <c r="P68" s="347" t="s">
        <v>1300</v>
      </c>
      <c r="Q68" s="347" t="s">
        <v>1301</v>
      </c>
      <c r="R68" s="347" t="s">
        <v>1302</v>
      </c>
      <c r="S68" s="347" t="s">
        <v>1303</v>
      </c>
      <c r="T68" s="347"/>
    </row>
    <row r="69" spans="2:20">
      <c r="B69" s="351" t="s">
        <v>1444</v>
      </c>
      <c r="C69" s="347" t="s">
        <v>145</v>
      </c>
      <c r="D69" s="347" t="s">
        <v>1304</v>
      </c>
      <c r="E69" s="347"/>
      <c r="F69" s="347"/>
      <c r="G69" s="347"/>
      <c r="H69" s="347"/>
      <c r="I69" s="347"/>
      <c r="J69" s="347"/>
      <c r="K69" s="347"/>
      <c r="L69" s="347"/>
      <c r="M69" s="347"/>
      <c r="N69" s="347" t="s">
        <v>1305</v>
      </c>
      <c r="O69" s="347"/>
      <c r="P69" s="347"/>
      <c r="Q69" s="347"/>
      <c r="R69" s="347"/>
      <c r="S69" s="347"/>
      <c r="T69" s="347"/>
    </row>
    <row r="70" spans="2:20">
      <c r="B70" s="351" t="s">
        <v>1306</v>
      </c>
      <c r="C70" s="347" t="s">
        <v>1307</v>
      </c>
      <c r="D70" s="347" t="s">
        <v>1308</v>
      </c>
      <c r="E70" s="347" t="s">
        <v>1309</v>
      </c>
      <c r="F70" s="347" t="s">
        <v>1310</v>
      </c>
      <c r="G70" s="347" t="s">
        <v>1311</v>
      </c>
      <c r="H70" s="347"/>
      <c r="I70" s="347" t="s">
        <v>1312</v>
      </c>
      <c r="J70" s="347" t="s">
        <v>1313</v>
      </c>
      <c r="K70" s="347"/>
      <c r="L70" s="347" t="s">
        <v>1314</v>
      </c>
      <c r="M70" s="347" t="s">
        <v>1315</v>
      </c>
      <c r="N70" s="347"/>
      <c r="O70" s="347"/>
      <c r="P70" s="347" t="s">
        <v>1316</v>
      </c>
      <c r="Q70" s="347" t="s">
        <v>1317</v>
      </c>
      <c r="R70" s="347" t="s">
        <v>1318</v>
      </c>
      <c r="S70" s="347" t="s">
        <v>1319</v>
      </c>
      <c r="T70" s="347"/>
    </row>
    <row r="71" spans="2:20">
      <c r="B71" s="351" t="s">
        <v>211</v>
      </c>
      <c r="C71" s="347" t="s">
        <v>213</v>
      </c>
      <c r="D71" s="347" t="s">
        <v>1320</v>
      </c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 t="s">
        <v>1321</v>
      </c>
      <c r="Q71" s="347" t="s">
        <v>1322</v>
      </c>
      <c r="R71" s="347" t="s">
        <v>1323</v>
      </c>
      <c r="S71" s="347"/>
      <c r="T71" s="347"/>
    </row>
    <row r="72" spans="2:20">
      <c r="B72" s="351" t="s">
        <v>1324</v>
      </c>
      <c r="C72" s="347" t="s">
        <v>184</v>
      </c>
      <c r="D72" s="347" t="s">
        <v>1325</v>
      </c>
      <c r="E72" s="347"/>
      <c r="F72" s="347"/>
      <c r="G72" s="347"/>
      <c r="H72" s="347"/>
      <c r="I72" s="347"/>
      <c r="J72" s="347"/>
      <c r="K72" s="347"/>
      <c r="L72" s="347"/>
      <c r="M72" s="347" t="s">
        <v>1326</v>
      </c>
      <c r="N72" s="347"/>
      <c r="O72" s="347"/>
      <c r="P72" s="347" t="s">
        <v>1327</v>
      </c>
      <c r="Q72" s="347" t="s">
        <v>1328</v>
      </c>
      <c r="R72" s="347"/>
      <c r="S72" s="347"/>
      <c r="T72" s="347"/>
    </row>
    <row r="73" spans="2:20">
      <c r="B73" s="351" t="s">
        <v>1329</v>
      </c>
      <c r="C73" s="347" t="s">
        <v>212</v>
      </c>
      <c r="D73" s="347"/>
      <c r="E73" s="347"/>
      <c r="F73" s="347"/>
      <c r="G73" s="347" t="s">
        <v>1330</v>
      </c>
      <c r="H73" s="347"/>
      <c r="I73" s="347"/>
      <c r="J73" s="347"/>
      <c r="K73" s="347"/>
      <c r="L73" s="347" t="s">
        <v>1331</v>
      </c>
      <c r="M73" s="347"/>
      <c r="N73" s="347" t="s">
        <v>1332</v>
      </c>
      <c r="O73" s="347"/>
      <c r="P73" s="347"/>
      <c r="Q73" s="347" t="s">
        <v>1333</v>
      </c>
      <c r="R73" s="347"/>
      <c r="S73" s="347"/>
      <c r="T73" s="347"/>
    </row>
    <row r="74" spans="2:20">
      <c r="B74" s="351" t="s">
        <v>1334</v>
      </c>
      <c r="C74" s="347" t="s">
        <v>183</v>
      </c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 t="s">
        <v>1335</v>
      </c>
      <c r="R74" s="347"/>
      <c r="S74" s="347"/>
      <c r="T74" s="347"/>
    </row>
    <row r="75" spans="2:20">
      <c r="B75" s="351" t="s">
        <v>214</v>
      </c>
      <c r="C75" s="347" t="s">
        <v>456</v>
      </c>
      <c r="D75" s="347" t="s">
        <v>1336</v>
      </c>
      <c r="E75" s="347" t="s">
        <v>1337</v>
      </c>
      <c r="F75" s="347" t="s">
        <v>1338</v>
      </c>
      <c r="G75" s="347" t="s">
        <v>1339</v>
      </c>
      <c r="H75" s="347" t="s">
        <v>1340</v>
      </c>
      <c r="I75" s="347" t="s">
        <v>1341</v>
      </c>
      <c r="J75" s="347" t="s">
        <v>1342</v>
      </c>
      <c r="K75" s="347"/>
      <c r="L75" s="347" t="s">
        <v>1343</v>
      </c>
      <c r="M75" s="347" t="s">
        <v>1344</v>
      </c>
      <c r="N75" s="347" t="s">
        <v>1345</v>
      </c>
      <c r="O75" s="347" t="s">
        <v>1346</v>
      </c>
      <c r="P75" s="347" t="s">
        <v>1347</v>
      </c>
      <c r="Q75" s="347" t="s">
        <v>1348</v>
      </c>
      <c r="R75" s="347" t="s">
        <v>1349</v>
      </c>
      <c r="S75" s="347" t="s">
        <v>1350</v>
      </c>
      <c r="T75" s="347"/>
    </row>
    <row r="76" spans="2:20">
      <c r="B76" s="351" t="s">
        <v>1351</v>
      </c>
      <c r="C76" s="347" t="s">
        <v>1352</v>
      </c>
      <c r="D76" s="347" t="s">
        <v>1353</v>
      </c>
      <c r="E76" s="347" t="s">
        <v>1354</v>
      </c>
      <c r="F76" s="347" t="s">
        <v>1355</v>
      </c>
      <c r="G76" s="347" t="s">
        <v>1356</v>
      </c>
      <c r="H76" s="347"/>
      <c r="I76" s="347"/>
      <c r="J76" s="347" t="s">
        <v>1357</v>
      </c>
      <c r="K76" s="347"/>
      <c r="L76" s="347" t="s">
        <v>1358</v>
      </c>
      <c r="M76" s="347" t="s">
        <v>1359</v>
      </c>
      <c r="N76" s="347" t="s">
        <v>1360</v>
      </c>
      <c r="O76" s="347"/>
      <c r="P76" s="347" t="s">
        <v>1361</v>
      </c>
      <c r="Q76" s="347" t="s">
        <v>1362</v>
      </c>
      <c r="R76" s="347" t="s">
        <v>1363</v>
      </c>
      <c r="S76" s="347" t="s">
        <v>1364</v>
      </c>
      <c r="T76" s="347" t="s">
        <v>1365</v>
      </c>
    </row>
    <row r="77" spans="2:20">
      <c r="B77" s="351" t="s">
        <v>218</v>
      </c>
      <c r="C77" s="347" t="s">
        <v>220</v>
      </c>
      <c r="D77" s="347" t="s">
        <v>1366</v>
      </c>
      <c r="E77" s="347" t="s">
        <v>1367</v>
      </c>
      <c r="F77" s="347" t="s">
        <v>1368</v>
      </c>
      <c r="G77" s="347" t="s">
        <v>1369</v>
      </c>
      <c r="H77" s="347" t="s">
        <v>1370</v>
      </c>
      <c r="I77" s="347" t="s">
        <v>1371</v>
      </c>
      <c r="J77" s="347" t="s">
        <v>1372</v>
      </c>
      <c r="K77" s="347"/>
      <c r="L77" s="347" t="s">
        <v>1373</v>
      </c>
      <c r="M77" s="347" t="s">
        <v>1374</v>
      </c>
      <c r="N77" s="347" t="s">
        <v>1375</v>
      </c>
      <c r="O77" s="347"/>
      <c r="P77" s="347" t="s">
        <v>1376</v>
      </c>
      <c r="Q77" s="347" t="s">
        <v>1377</v>
      </c>
      <c r="R77" s="347" t="s">
        <v>1378</v>
      </c>
      <c r="S77" s="347" t="s">
        <v>1379</v>
      </c>
      <c r="T77" s="347"/>
    </row>
    <row r="78" spans="2:20">
      <c r="B78" s="351" t="s">
        <v>1380</v>
      </c>
      <c r="C78" s="347" t="s">
        <v>190</v>
      </c>
      <c r="D78" s="347" t="s">
        <v>1381</v>
      </c>
      <c r="E78" s="347" t="s">
        <v>1382</v>
      </c>
      <c r="F78" s="347"/>
      <c r="G78" s="347"/>
      <c r="H78" s="347"/>
      <c r="I78" s="347"/>
      <c r="J78" s="347"/>
      <c r="K78" s="347"/>
      <c r="L78" s="347"/>
      <c r="M78" s="347" t="s">
        <v>1383</v>
      </c>
      <c r="N78" s="347" t="s">
        <v>1384</v>
      </c>
      <c r="O78" s="347"/>
      <c r="P78" s="347" t="s">
        <v>1385</v>
      </c>
      <c r="Q78" s="347" t="s">
        <v>1386</v>
      </c>
      <c r="R78" s="347"/>
      <c r="S78" s="347"/>
      <c r="T78" s="347"/>
    </row>
    <row r="79" spans="2:20">
      <c r="B79" s="351" t="s">
        <v>1387</v>
      </c>
      <c r="C79" s="347" t="s">
        <v>219</v>
      </c>
      <c r="D79" s="347" t="s">
        <v>1388</v>
      </c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 t="s">
        <v>1389</v>
      </c>
      <c r="R79" s="347"/>
      <c r="S79" s="347"/>
      <c r="T79" s="347"/>
    </row>
    <row r="80" spans="2:20">
      <c r="B80" s="351" t="s">
        <v>453</v>
      </c>
      <c r="C80" s="347" t="s">
        <v>144</v>
      </c>
      <c r="D80" s="347" t="s">
        <v>1390</v>
      </c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</row>
    <row r="81" spans="2:20">
      <c r="B81" s="351" t="s">
        <v>1391</v>
      </c>
      <c r="C81" s="347" t="s">
        <v>1392</v>
      </c>
      <c r="D81" s="347" t="s">
        <v>1393</v>
      </c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</row>
    <row r="82" spans="2:20">
      <c r="B82" s="351" t="s">
        <v>531</v>
      </c>
      <c r="C82" s="347" t="s">
        <v>74</v>
      </c>
      <c r="D82" s="347" t="s">
        <v>1394</v>
      </c>
      <c r="E82" s="347" t="s">
        <v>1395</v>
      </c>
      <c r="F82" s="347"/>
      <c r="G82" s="347"/>
      <c r="H82" s="347" t="s">
        <v>1396</v>
      </c>
      <c r="I82" s="347" t="s">
        <v>1397</v>
      </c>
      <c r="J82" s="347" t="s">
        <v>1398</v>
      </c>
      <c r="K82" s="347" t="s">
        <v>1399</v>
      </c>
      <c r="L82" s="347"/>
      <c r="M82" s="347" t="s">
        <v>1400</v>
      </c>
      <c r="N82" s="347" t="s">
        <v>1401</v>
      </c>
      <c r="O82" s="347"/>
      <c r="P82" s="347" t="s">
        <v>1402</v>
      </c>
      <c r="Q82" s="347" t="s">
        <v>1403</v>
      </c>
      <c r="R82" s="347" t="s">
        <v>1404</v>
      </c>
      <c r="S82" s="347"/>
      <c r="T82" s="347"/>
    </row>
    <row r="83" spans="2:20">
      <c r="B83" s="351" t="s">
        <v>1445</v>
      </c>
      <c r="C83" s="347" t="s">
        <v>1405</v>
      </c>
      <c r="D83" s="347" t="s">
        <v>1406</v>
      </c>
      <c r="E83" s="347"/>
      <c r="F83" s="347" t="s">
        <v>1407</v>
      </c>
      <c r="G83" s="347"/>
      <c r="H83" s="347" t="s">
        <v>1408</v>
      </c>
      <c r="I83" s="347"/>
      <c r="J83" s="347"/>
      <c r="K83" s="347"/>
      <c r="L83" s="347"/>
      <c r="M83" s="347"/>
      <c r="N83" s="347" t="s">
        <v>1409</v>
      </c>
      <c r="O83" s="347"/>
      <c r="P83" s="347" t="s">
        <v>1410</v>
      </c>
      <c r="Q83" s="347"/>
      <c r="R83" s="347" t="s">
        <v>1411</v>
      </c>
      <c r="S83" s="347"/>
      <c r="T83" s="347"/>
    </row>
    <row r="85" spans="2:20" ht="27.75">
      <c r="B85" s="349" t="s">
        <v>1414</v>
      </c>
    </row>
    <row r="87" spans="2:20" ht="28.5">
      <c r="B87" s="352" t="s">
        <v>1412</v>
      </c>
      <c r="C87" s="353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</row>
    <row r="88" spans="2:20" ht="28.5">
      <c r="B88" s="352" t="s">
        <v>1413</v>
      </c>
      <c r="C88" s="353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4AD8-A487-4558-A467-9475A22FFA19}">
  <sheetPr>
    <tabColor rgb="FFFF0000"/>
  </sheetPr>
  <dimension ref="B1:H9"/>
  <sheetViews>
    <sheetView workbookViewId="0">
      <selection activeCell="K15" sqref="K15"/>
    </sheetView>
  </sheetViews>
  <sheetFormatPr defaultRowHeight="27.75"/>
  <cols>
    <col min="1" max="1" width="8.796875" style="240"/>
    <col min="2" max="8" width="18.296875" style="240" customWidth="1"/>
    <col min="9" max="16384" width="8.796875" style="240"/>
  </cols>
  <sheetData>
    <row r="1" spans="2:8">
      <c r="B1" s="240" t="s">
        <v>415</v>
      </c>
    </row>
    <row r="3" spans="2:8">
      <c r="B3" s="244" t="s">
        <v>449</v>
      </c>
      <c r="C3" s="245" t="s">
        <v>416</v>
      </c>
      <c r="D3" s="245" t="s">
        <v>417</v>
      </c>
      <c r="E3" s="245" t="s">
        <v>418</v>
      </c>
      <c r="F3" s="245" t="s">
        <v>419</v>
      </c>
      <c r="G3" s="245" t="s">
        <v>420</v>
      </c>
      <c r="H3" s="246" t="s">
        <v>421</v>
      </c>
    </row>
    <row r="4" spans="2:8">
      <c r="B4" s="241" t="s">
        <v>422</v>
      </c>
      <c r="C4" s="251" t="s">
        <v>423</v>
      </c>
      <c r="D4" s="251" t="s">
        <v>424</v>
      </c>
      <c r="E4" s="251" t="s">
        <v>425</v>
      </c>
      <c r="F4" s="251" t="s">
        <v>426</v>
      </c>
      <c r="G4" s="251"/>
      <c r="H4" s="252"/>
    </row>
    <row r="5" spans="2:8">
      <c r="B5" s="241" t="s">
        <v>427</v>
      </c>
      <c r="C5" s="251" t="s">
        <v>428</v>
      </c>
      <c r="D5" s="251" t="s">
        <v>429</v>
      </c>
      <c r="E5" s="251"/>
      <c r="F5" s="251" t="s">
        <v>430</v>
      </c>
      <c r="G5" s="251"/>
      <c r="H5" s="252" t="s">
        <v>431</v>
      </c>
    </row>
    <row r="6" spans="2:8">
      <c r="B6" s="241" t="s">
        <v>432</v>
      </c>
      <c r="C6" s="251" t="s">
        <v>433</v>
      </c>
      <c r="D6" s="251" t="s">
        <v>434</v>
      </c>
      <c r="E6" s="251" t="s">
        <v>435</v>
      </c>
      <c r="F6" s="251"/>
      <c r="G6" s="251" t="s">
        <v>436</v>
      </c>
      <c r="H6" s="252"/>
    </row>
    <row r="7" spans="2:8">
      <c r="B7" s="241" t="s">
        <v>437</v>
      </c>
      <c r="C7" s="251" t="s">
        <v>438</v>
      </c>
      <c r="D7" s="251" t="s">
        <v>439</v>
      </c>
      <c r="E7" s="251" t="s">
        <v>440</v>
      </c>
      <c r="F7" s="251"/>
      <c r="G7" s="251" t="s">
        <v>441</v>
      </c>
      <c r="H7" s="252"/>
    </row>
    <row r="8" spans="2:8">
      <c r="B8" s="241" t="s">
        <v>442</v>
      </c>
      <c r="C8" s="251" t="s">
        <v>443</v>
      </c>
      <c r="D8" s="251" t="s">
        <v>444</v>
      </c>
      <c r="E8" s="251" t="s">
        <v>445</v>
      </c>
      <c r="F8" s="251" t="s">
        <v>446</v>
      </c>
      <c r="G8" s="251"/>
      <c r="H8" s="252"/>
    </row>
    <row r="9" spans="2:8">
      <c r="B9" s="243" t="s">
        <v>447</v>
      </c>
      <c r="C9" s="253"/>
      <c r="D9" s="253"/>
      <c r="E9" s="253"/>
      <c r="F9" s="253"/>
      <c r="G9" s="253" t="s">
        <v>448</v>
      </c>
      <c r="H9" s="254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941-707B-43B5-A2ED-6EBC07AA803C}">
  <dimension ref="B1:U8"/>
  <sheetViews>
    <sheetView topLeftCell="E1" workbookViewId="0">
      <selection activeCell="O11" sqref="O11"/>
    </sheetView>
  </sheetViews>
  <sheetFormatPr defaultRowHeight="27.75"/>
  <cols>
    <col min="1" max="1" width="2.19921875" style="240" customWidth="1"/>
    <col min="2" max="2" width="9.09765625" style="240" customWidth="1"/>
    <col min="3" max="21" width="9.19921875" style="240" customWidth="1"/>
    <col min="22" max="16384" width="8.796875" style="240"/>
  </cols>
  <sheetData>
    <row r="1" spans="2:21">
      <c r="B1" s="240" t="s">
        <v>450</v>
      </c>
    </row>
    <row r="3" spans="2:21" ht="30">
      <c r="B3" s="242" t="s">
        <v>451</v>
      </c>
      <c r="C3" s="299" t="s">
        <v>247</v>
      </c>
      <c r="D3" s="299" t="s">
        <v>514</v>
      </c>
      <c r="E3" s="299" t="s">
        <v>515</v>
      </c>
      <c r="F3" s="299" t="s">
        <v>234</v>
      </c>
      <c r="G3" s="299" t="s">
        <v>207</v>
      </c>
      <c r="H3" s="299" t="s">
        <v>516</v>
      </c>
      <c r="I3" s="301" t="s">
        <v>519</v>
      </c>
      <c r="J3" s="299" t="s">
        <v>517</v>
      </c>
      <c r="K3" s="299" t="s">
        <v>461</v>
      </c>
      <c r="L3" s="299" t="s">
        <v>229</v>
      </c>
      <c r="M3" s="299" t="s">
        <v>452</v>
      </c>
      <c r="N3" s="299" t="s">
        <v>462</v>
      </c>
      <c r="O3" s="299" t="s">
        <v>170</v>
      </c>
      <c r="P3" s="299" t="s">
        <v>215</v>
      </c>
      <c r="Q3" s="299" t="s">
        <v>463</v>
      </c>
      <c r="R3" s="299" t="s">
        <v>214</v>
      </c>
      <c r="S3" s="299" t="s">
        <v>218</v>
      </c>
      <c r="T3" s="299" t="s">
        <v>453</v>
      </c>
      <c r="U3" s="300" t="s">
        <v>518</v>
      </c>
    </row>
    <row r="4" spans="2:21">
      <c r="B4" s="241" t="s">
        <v>454</v>
      </c>
      <c r="C4" s="247" t="s">
        <v>58</v>
      </c>
      <c r="D4" s="247" t="s">
        <v>189</v>
      </c>
      <c r="E4" s="247" t="s">
        <v>72</v>
      </c>
      <c r="F4" s="247" t="s">
        <v>61</v>
      </c>
      <c r="G4" s="247" t="s">
        <v>54</v>
      </c>
      <c r="H4" s="247" t="s">
        <v>228</v>
      </c>
      <c r="I4" s="247" t="s">
        <v>222</v>
      </c>
      <c r="J4" s="247" t="s">
        <v>225</v>
      </c>
      <c r="K4" s="247" t="s">
        <v>455</v>
      </c>
      <c r="L4" s="247" t="s">
        <v>230</v>
      </c>
      <c r="M4" s="247" t="s">
        <v>284</v>
      </c>
      <c r="N4" s="247" t="s">
        <v>67</v>
      </c>
      <c r="O4" s="247" t="s">
        <v>56</v>
      </c>
      <c r="P4" s="247" t="s">
        <v>217</v>
      </c>
      <c r="Q4" s="247" t="s">
        <v>213</v>
      </c>
      <c r="R4" s="247" t="s">
        <v>456</v>
      </c>
      <c r="S4" s="247" t="s">
        <v>220</v>
      </c>
      <c r="T4" s="247" t="s">
        <v>144</v>
      </c>
      <c r="U4" s="248" t="s">
        <v>74</v>
      </c>
    </row>
    <row r="5" spans="2:21">
      <c r="B5" s="241" t="s">
        <v>457</v>
      </c>
      <c r="C5" s="247" t="s">
        <v>115</v>
      </c>
      <c r="D5" s="247" t="s">
        <v>117</v>
      </c>
      <c r="E5" s="247"/>
      <c r="F5" s="247" t="s">
        <v>119</v>
      </c>
      <c r="G5" s="247" t="s">
        <v>111</v>
      </c>
      <c r="H5" s="247" t="s">
        <v>196</v>
      </c>
      <c r="I5" s="247" t="s">
        <v>191</v>
      </c>
      <c r="J5" s="247"/>
      <c r="K5" s="247" t="s">
        <v>193</v>
      </c>
      <c r="L5" s="247" t="s">
        <v>198</v>
      </c>
      <c r="M5" s="247"/>
      <c r="N5" s="247" t="s">
        <v>121</v>
      </c>
      <c r="O5" s="247"/>
      <c r="P5" s="247" t="s">
        <v>187</v>
      </c>
      <c r="Q5" s="247" t="s">
        <v>184</v>
      </c>
      <c r="R5" s="247"/>
      <c r="S5" s="247"/>
      <c r="T5" s="247"/>
      <c r="U5" s="248"/>
    </row>
    <row r="6" spans="2:21">
      <c r="B6" s="255" t="s">
        <v>79</v>
      </c>
      <c r="C6" s="247" t="s">
        <v>99</v>
      </c>
      <c r="D6" s="247"/>
      <c r="E6" s="247"/>
      <c r="F6" s="247"/>
      <c r="G6" s="247" t="s">
        <v>458</v>
      </c>
      <c r="H6" s="247" t="s">
        <v>459</v>
      </c>
      <c r="I6" s="247"/>
      <c r="J6" s="247"/>
      <c r="K6" s="247"/>
      <c r="L6" s="247"/>
      <c r="M6" s="247"/>
      <c r="N6" s="247" t="s">
        <v>125</v>
      </c>
      <c r="O6" s="247"/>
      <c r="P6" s="247"/>
      <c r="Q6" s="247"/>
      <c r="R6" s="247"/>
      <c r="S6" s="247"/>
      <c r="T6" s="247"/>
      <c r="U6" s="248"/>
    </row>
    <row r="7" spans="2:21">
      <c r="B7" s="255" t="s">
        <v>77</v>
      </c>
      <c r="C7" s="247" t="s">
        <v>97</v>
      </c>
      <c r="D7" s="247"/>
      <c r="E7" s="247"/>
      <c r="F7" s="247"/>
      <c r="G7" s="247" t="s">
        <v>163</v>
      </c>
      <c r="H7" s="247" t="s">
        <v>155</v>
      </c>
      <c r="I7" s="247"/>
      <c r="J7" s="247"/>
      <c r="K7" s="247"/>
      <c r="L7" s="247"/>
      <c r="M7" s="247"/>
      <c r="N7" s="247"/>
      <c r="O7" s="247" t="s">
        <v>160</v>
      </c>
      <c r="P7" s="247" t="s">
        <v>153</v>
      </c>
      <c r="Q7" s="247"/>
      <c r="R7" s="247"/>
      <c r="S7" s="247"/>
      <c r="T7" s="247"/>
      <c r="U7" s="248"/>
    </row>
    <row r="8" spans="2:21">
      <c r="B8" s="256" t="s">
        <v>460</v>
      </c>
      <c r="C8" s="249" t="s">
        <v>95</v>
      </c>
      <c r="D8" s="249"/>
      <c r="E8" s="249"/>
      <c r="F8" s="249"/>
      <c r="G8" s="249" t="s">
        <v>147</v>
      </c>
      <c r="H8" s="249" t="s">
        <v>148</v>
      </c>
      <c r="I8" s="249"/>
      <c r="J8" s="249"/>
      <c r="K8" s="249" t="s">
        <v>146</v>
      </c>
      <c r="L8" s="249"/>
      <c r="M8" s="249"/>
      <c r="N8" s="249" t="s">
        <v>101</v>
      </c>
      <c r="O8" s="249"/>
      <c r="P8" s="249"/>
      <c r="Q8" s="249"/>
      <c r="R8" s="249"/>
      <c r="S8" s="249"/>
      <c r="T8" s="249"/>
      <c r="U8" s="250"/>
    </row>
  </sheetData>
  <phoneticPr fontId="9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10</vt:i4>
      </vt:variant>
    </vt:vector>
  </HeadingPairs>
  <TitlesOfParts>
    <vt:vector size="19" baseType="lpstr">
      <vt:lpstr>注音編碼對照表</vt:lpstr>
      <vt:lpstr>使用按鍵解析</vt:lpstr>
      <vt:lpstr>RIME設定解析</vt:lpstr>
      <vt:lpstr>注音符號表</vt:lpstr>
      <vt:lpstr>注音符號按鍵</vt:lpstr>
      <vt:lpstr>RIME對映編碼 (台語方音)</vt:lpstr>
      <vt:lpstr>方音符號音節表</vt:lpstr>
      <vt:lpstr>方音聲母</vt:lpstr>
      <vt:lpstr>方音韻母</vt:lpstr>
      <vt:lpstr>RIME設定解析!方音符號</vt:lpstr>
      <vt:lpstr>'RIME對映編碼 (台語方音)'!方音符號</vt:lpstr>
      <vt:lpstr>RIME設定解析!注音符號</vt:lpstr>
      <vt:lpstr>RIME設定解析!注音編碼</vt:lpstr>
      <vt:lpstr>RIME設定解析!拼音字母</vt:lpstr>
      <vt:lpstr>RIME設定解析!按鍵編碼</vt:lpstr>
      <vt:lpstr>'RIME對映編碼 (台語方音)'!按鍵編碼</vt:lpstr>
      <vt:lpstr>RIME設定解析!鍵盤位置</vt:lpstr>
      <vt:lpstr>'RIME對映編碼 (台語方音)'!鍵盤位置</vt:lpstr>
      <vt:lpstr>RIME設定解析!鍵盤按鍵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2024-06-12T09:41:21Z</dcterms:created>
  <dcterms:modified xsi:type="dcterms:W3CDTF">2024-12-13T14:49:36Z</dcterms:modified>
</cp:coreProperties>
</file>