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883B6A28-9F01-4DD0-BAB4-A1F0F26ADA91}" xr6:coauthVersionLast="47" xr6:coauthVersionMax="47" xr10:uidLastSave="{00000000-0000-0000-0000-000000000000}"/>
  <bookViews>
    <workbookView xWindow="-28920" yWindow="-120" windowWidth="29040" windowHeight="15720" activeTab="2" xr2:uid="{E87E5C8B-EACA-42E9-8621-62DDB8F02212}"/>
  </bookViews>
  <sheets>
    <sheet name="使用按鍵解析" sheetId="9" r:id="rId1"/>
    <sheet name="注音編碼對照表" sheetId="12" r:id="rId2"/>
    <sheet name="RIME設定解析" sheetId="10" r:id="rId3"/>
    <sheet name="RIME設定解析 (2)" sheetId="11" r:id="rId4"/>
    <sheet name="方音符號V2" sheetId="8" r:id="rId5"/>
    <sheet name="方音符號" sheetId="7" r:id="rId6"/>
    <sheet name="鍵盤設計" sheetId="5" r:id="rId7"/>
    <sheet name="注音符號、電腦鍵盤與音標編碼" sheetId="4" r:id="rId8"/>
    <sheet name="台語方音字典編碼" sheetId="3" r:id="rId9"/>
    <sheet name="RIME對映編碼 (台語方音)" sheetId="1" r:id="rId10"/>
    <sheet name="參考鍵盤" sheetId="2" r:id="rId11"/>
  </sheets>
  <externalReferences>
    <externalReference r:id="rId12"/>
    <externalReference r:id="rId13"/>
  </externalReferences>
  <definedNames>
    <definedName name="_xlnm._FilterDatabase" localSheetId="3" hidden="1">'RIME設定解析 (2)'!$AA$1:$AI$58</definedName>
    <definedName name="_xlnm._FilterDatabase" localSheetId="5" hidden="1">方音符號!$P$2:$T$54</definedName>
    <definedName name="_xlnm._FilterDatabase" localSheetId="7" hidden="1">'注音符號、電腦鍵盤與音標編碼'!$B$2:$K$56</definedName>
    <definedName name="方音符號" localSheetId="2">RIME設定解析!$W$3:$W$54</definedName>
    <definedName name="方音符號" localSheetId="3">'RIME設定解析 (2)'!$W$3:$W$54</definedName>
    <definedName name="方音符號" localSheetId="9">'RIME對映編碼 (台語方音)'!$U$3:$U$44</definedName>
    <definedName name="方音符號" localSheetId="5">#REF!</definedName>
    <definedName name="方音符號" localSheetId="7">#REF!</definedName>
    <definedName name="方音符號" localSheetId="6">#REF!</definedName>
    <definedName name="方音符號">[1]RIME編碼!$AA$3:$AA$45</definedName>
    <definedName name="字典編碼" localSheetId="5">#REF!</definedName>
    <definedName name="字典編碼" localSheetId="7">#REF!</definedName>
    <definedName name="字典編碼" localSheetId="6">#REF!</definedName>
    <definedName name="字典編碼">[1]RIME編碼!$AB$3:$AB$45</definedName>
    <definedName name="注音符號" localSheetId="2">RIME設定解析!$W$3:$W$54</definedName>
    <definedName name="注音符號" localSheetId="3">'RIME設定解析 (2)'!$W$3:$W$54</definedName>
    <definedName name="注音符號" localSheetId="5">#REF!</definedName>
    <definedName name="注音符號">#REF!</definedName>
    <definedName name="注音編碼" localSheetId="2">RIME設定解析!$V$3:$V$54</definedName>
    <definedName name="注音編碼" localSheetId="3">'RIME設定解析 (2)'!$V$3:$V$54</definedName>
    <definedName name="注音編碼" localSheetId="0">[2]RIME設定解析!$W$3:$W$54</definedName>
    <definedName name="注音編碼">方音符號V2!$V$2:$V$53</definedName>
    <definedName name="拼音字母" localSheetId="2">RIME設定解析!$X$3:$X$54</definedName>
    <definedName name="拼音字母" localSheetId="3">'RIME設定解析 (2)'!$X$3:$X$54</definedName>
    <definedName name="拼音字母" localSheetId="9">'RIME對映編碼 (台語方音)'!#REF!</definedName>
    <definedName name="拼音字母" localSheetId="5">#REF!</definedName>
    <definedName name="拼音字母" localSheetId="7">#REF!</definedName>
    <definedName name="拼音字母" localSheetId="6">#REF!</definedName>
    <definedName name="拼音字母">[1]RIME編碼!$AC$3:$AC$45</definedName>
    <definedName name="按鍵編碼" localSheetId="2">RIME設定解析!$V$3:$V$54</definedName>
    <definedName name="按鍵編碼" localSheetId="3">'RIME設定解析 (2)'!$V$3:$V$54</definedName>
    <definedName name="按鍵編碼" localSheetId="9">'RIME對映編碼 (台語方音)'!$T$3:$T$44</definedName>
    <definedName name="國際音標" localSheetId="9">'RIME對映編碼 (台語方音)'!#REF!</definedName>
    <definedName name="鍵盤位置" localSheetId="2">RIME設定解析!$U$3:$U$54</definedName>
    <definedName name="鍵盤位置" localSheetId="3">'RIME設定解析 (2)'!$U$3:$U$54</definedName>
    <definedName name="鍵盤位置" localSheetId="9">'RIME對映編碼 (台語方音)'!$S$3:$S$44</definedName>
    <definedName name="鍵盤位置" localSheetId="5">#REF!</definedName>
    <definedName name="鍵盤位置" localSheetId="7">#REF!</definedName>
    <definedName name="鍵盤位置" localSheetId="6">#REF!</definedName>
    <definedName name="鍵盤位置">[1]RIME編碼!$W$3:$W$40</definedName>
    <definedName name="鍵盤按鍵" localSheetId="2">RIME設定解析!$U$3:$U$54</definedName>
    <definedName name="鍵盤按鍵" localSheetId="3">'RIME設定解析 (2)'!$U$3:$U$54</definedName>
    <definedName name="鍵盤按鍵" localSheetId="0">[2]RIME設定解析!$U$3:$U$54</definedName>
    <definedName name="鍵盤按鍵">方音符號V2!$T$2:$T$53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" i="11" l="1"/>
  <c r="V4" i="11"/>
  <c r="U5" i="11"/>
  <c r="V5" i="11"/>
  <c r="U6" i="11"/>
  <c r="V6" i="11"/>
  <c r="U7" i="11"/>
  <c r="V7" i="11"/>
  <c r="U8" i="11"/>
  <c r="V8" i="11"/>
  <c r="U9" i="11"/>
  <c r="V9" i="11"/>
  <c r="U10" i="11"/>
  <c r="V10" i="11"/>
  <c r="U11" i="11"/>
  <c r="V11" i="11"/>
  <c r="U12" i="11"/>
  <c r="V12" i="11"/>
  <c r="U13" i="11"/>
  <c r="V13" i="11"/>
  <c r="U14" i="11"/>
  <c r="V14" i="11"/>
  <c r="U15" i="11"/>
  <c r="V15" i="11"/>
  <c r="U16" i="11"/>
  <c r="V16" i="11"/>
  <c r="U17" i="11"/>
  <c r="V17" i="11"/>
  <c r="U18" i="11"/>
  <c r="V18" i="11"/>
  <c r="U19" i="11"/>
  <c r="V19" i="11"/>
  <c r="U20" i="11"/>
  <c r="V20" i="11"/>
  <c r="U21" i="11"/>
  <c r="V21" i="11"/>
  <c r="U22" i="11"/>
  <c r="V22" i="11"/>
  <c r="U23" i="11"/>
  <c r="V23" i="11"/>
  <c r="U24" i="11"/>
  <c r="V24" i="11"/>
  <c r="U25" i="11"/>
  <c r="V25" i="11"/>
  <c r="U26" i="11"/>
  <c r="V26" i="11"/>
  <c r="U27" i="11"/>
  <c r="V27" i="11"/>
  <c r="U28" i="11"/>
  <c r="V28" i="11"/>
  <c r="U29" i="11"/>
  <c r="V29" i="11"/>
  <c r="U30" i="11"/>
  <c r="V30" i="11"/>
  <c r="U31" i="11"/>
  <c r="V31" i="11"/>
  <c r="U32" i="11"/>
  <c r="V32" i="11"/>
  <c r="U33" i="11"/>
  <c r="V33" i="11"/>
  <c r="U34" i="11"/>
  <c r="V34" i="11"/>
  <c r="U35" i="11"/>
  <c r="V35" i="11"/>
  <c r="U36" i="11"/>
  <c r="V36" i="11"/>
  <c r="U37" i="11"/>
  <c r="V37" i="11"/>
  <c r="U38" i="11"/>
  <c r="V38" i="11"/>
  <c r="U39" i="11"/>
  <c r="V39" i="11"/>
  <c r="U40" i="11"/>
  <c r="V40" i="11"/>
  <c r="U41" i="11"/>
  <c r="V41" i="11"/>
  <c r="U42" i="11"/>
  <c r="V42" i="11"/>
  <c r="U43" i="11"/>
  <c r="V43" i="11"/>
  <c r="U44" i="11"/>
  <c r="V44" i="11"/>
  <c r="U45" i="11"/>
  <c r="V45" i="11"/>
  <c r="U46" i="11"/>
  <c r="V46" i="11"/>
  <c r="U47" i="11"/>
  <c r="V47" i="11"/>
  <c r="U48" i="11"/>
  <c r="V48" i="11"/>
  <c r="U49" i="11"/>
  <c r="V49" i="11"/>
  <c r="U50" i="11"/>
  <c r="V50" i="11"/>
  <c r="U51" i="11"/>
  <c r="V51" i="11"/>
  <c r="U52" i="11"/>
  <c r="V52" i="11"/>
  <c r="U53" i="11"/>
  <c r="V53" i="11"/>
  <c r="U54" i="11"/>
  <c r="V54" i="11"/>
  <c r="U3" i="11"/>
  <c r="V3" i="11"/>
  <c r="F57" i="9"/>
  <c r="C49" i="12"/>
  <c r="B58" i="12" l="1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AA58" i="11"/>
  <c r="D58" i="11"/>
  <c r="AA57" i="11"/>
  <c r="D57" i="11"/>
  <c r="AA56" i="11"/>
  <c r="D56" i="11"/>
  <c r="AA55" i="11"/>
  <c r="D55" i="11"/>
  <c r="Z54" i="11"/>
  <c r="H54" i="11"/>
  <c r="D54" i="11"/>
  <c r="Z53" i="11"/>
  <c r="H53" i="11"/>
  <c r="D53" i="11"/>
  <c r="Z52" i="11"/>
  <c r="H52" i="11"/>
  <c r="D52" i="11"/>
  <c r="Z51" i="11"/>
  <c r="H51" i="11"/>
  <c r="D51" i="11"/>
  <c r="Z50" i="11"/>
  <c r="H50" i="11"/>
  <c r="D50" i="11"/>
  <c r="Z49" i="11"/>
  <c r="H49" i="11"/>
  <c r="D49" i="11"/>
  <c r="Z48" i="11"/>
  <c r="H48" i="11"/>
  <c r="D48" i="11"/>
  <c r="Z47" i="11"/>
  <c r="H47" i="11"/>
  <c r="D47" i="11"/>
  <c r="Z46" i="11"/>
  <c r="H46" i="11"/>
  <c r="Z45" i="11"/>
  <c r="H45" i="11"/>
  <c r="Z44" i="11"/>
  <c r="H44" i="11"/>
  <c r="Z43" i="11"/>
  <c r="H43" i="11"/>
  <c r="Z42" i="11"/>
  <c r="H42" i="11"/>
  <c r="Z41" i="11"/>
  <c r="H41" i="11"/>
  <c r="Z40" i="11"/>
  <c r="H40" i="11"/>
  <c r="Z39" i="11"/>
  <c r="H39" i="11"/>
  <c r="Z38" i="11"/>
  <c r="H38" i="11"/>
  <c r="Z37" i="11"/>
  <c r="H37" i="11"/>
  <c r="Z36" i="11"/>
  <c r="H36" i="11"/>
  <c r="Z35" i="11"/>
  <c r="H35" i="11"/>
  <c r="Z34" i="11"/>
  <c r="H34" i="11"/>
  <c r="Z33" i="11"/>
  <c r="H33" i="11"/>
  <c r="Z32" i="11"/>
  <c r="H32" i="11"/>
  <c r="Z31" i="11"/>
  <c r="H31" i="11"/>
  <c r="Z30" i="11"/>
  <c r="H30" i="11"/>
  <c r="Z29" i="11"/>
  <c r="H29" i="11"/>
  <c r="Z28" i="11"/>
  <c r="H28" i="11"/>
  <c r="Z27" i="11"/>
  <c r="H27" i="11"/>
  <c r="Z26" i="11"/>
  <c r="H26" i="11"/>
  <c r="Z25" i="11"/>
  <c r="H25" i="11"/>
  <c r="Z24" i="11"/>
  <c r="H24" i="11"/>
  <c r="Z23" i="11"/>
  <c r="H23" i="11"/>
  <c r="Z22" i="11"/>
  <c r="H22" i="11"/>
  <c r="B22" i="11"/>
  <c r="B23" i="11" s="1"/>
  <c r="B24" i="11" s="1"/>
  <c r="Z21" i="11"/>
  <c r="H21" i="11"/>
  <c r="Z20" i="11"/>
  <c r="H20" i="11"/>
  <c r="Z19" i="11"/>
  <c r="H19" i="11"/>
  <c r="AV18" i="11"/>
  <c r="Z18" i="11"/>
  <c r="H18" i="11"/>
  <c r="Z17" i="11"/>
  <c r="H17" i="11"/>
  <c r="Z16" i="11"/>
  <c r="H16" i="11"/>
  <c r="Z15" i="11"/>
  <c r="H15" i="11"/>
  <c r="Z14" i="11"/>
  <c r="H14" i="11"/>
  <c r="CX13" i="11" a="1"/>
  <c r="CX13" i="11" s="1"/>
  <c r="CW13" i="11" a="1"/>
  <c r="CW13" i="11" s="1"/>
  <c r="CV13" i="11" a="1"/>
  <c r="CV13" i="11" s="1"/>
  <c r="CU13" i="11" a="1"/>
  <c r="CU13" i="11" s="1"/>
  <c r="CT13" i="11" a="1"/>
  <c r="CT13" i="11" s="1"/>
  <c r="CS13" i="11" a="1"/>
  <c r="CS13" i="11" s="1"/>
  <c r="CR13" i="11" a="1"/>
  <c r="CR13" i="11" s="1"/>
  <c r="CQ13" i="11" a="1"/>
  <c r="CQ13" i="11" s="1"/>
  <c r="CP13" i="11" a="1"/>
  <c r="CP13" i="11" s="1"/>
  <c r="CO13" i="11" a="1"/>
  <c r="CO13" i="11" s="1"/>
  <c r="CN13" i="11" a="1"/>
  <c r="CN13" i="11" s="1"/>
  <c r="CM13" i="11" a="1"/>
  <c r="CM13" i="11" s="1"/>
  <c r="CL13" i="11" a="1"/>
  <c r="CL13" i="11" s="1"/>
  <c r="CK13" i="11" a="1"/>
  <c r="CK13" i="11" s="1"/>
  <c r="CJ13" i="11" a="1"/>
  <c r="CJ13" i="11" s="1"/>
  <c r="CI13" i="11" a="1"/>
  <c r="CI13" i="11" s="1"/>
  <c r="CH13" i="11" a="1"/>
  <c r="CH13" i="11" s="1"/>
  <c r="CG13" i="11" a="1"/>
  <c r="CG13" i="11" s="1"/>
  <c r="CF13" i="11" a="1"/>
  <c r="CF13" i="11" s="1"/>
  <c r="CE13" i="11" a="1"/>
  <c r="CE13" i="11" s="1"/>
  <c r="CD13" i="11" a="1"/>
  <c r="CD13" i="11" s="1"/>
  <c r="CC13" i="11" a="1"/>
  <c r="CC13" i="11" s="1"/>
  <c r="CB13" i="11" a="1"/>
  <c r="CB13" i="11" s="1"/>
  <c r="CA13" i="11" a="1"/>
  <c r="CA13" i="11" s="1"/>
  <c r="BZ13" i="11" a="1"/>
  <c r="BZ13" i="11" s="1"/>
  <c r="BY13" i="11" a="1"/>
  <c r="BY13" i="11" s="1"/>
  <c r="BX13" i="11" a="1"/>
  <c r="BX13" i="11" s="1"/>
  <c r="BW13" i="11" a="1"/>
  <c r="BW13" i="11" s="1"/>
  <c r="BV13" i="11" a="1"/>
  <c r="BV13" i="11" s="1"/>
  <c r="BU13" i="11" a="1"/>
  <c r="BU13" i="11" s="1"/>
  <c r="BT13" i="11" a="1"/>
  <c r="BT13" i="11" s="1"/>
  <c r="BS13" i="11" a="1"/>
  <c r="BS13" i="11" s="1"/>
  <c r="BR13" i="11" a="1"/>
  <c r="BR13" i="11" s="1"/>
  <c r="BQ13" i="11" a="1"/>
  <c r="BQ13" i="11" s="1"/>
  <c r="BP13" i="11" a="1"/>
  <c r="BP13" i="11" s="1"/>
  <c r="BO13" i="11" a="1"/>
  <c r="BO13" i="11" s="1"/>
  <c r="BN13" i="11" a="1"/>
  <c r="BN13" i="11" s="1"/>
  <c r="BM13" i="11" a="1"/>
  <c r="BM13" i="11" s="1"/>
  <c r="BL13" i="11" a="1"/>
  <c r="BL13" i="11" s="1"/>
  <c r="BK13" i="11" a="1"/>
  <c r="BK13" i="11" s="1"/>
  <c r="BJ13" i="11" a="1"/>
  <c r="BJ13" i="11" s="1"/>
  <c r="BI13" i="11" a="1"/>
  <c r="BI13" i="11" s="1"/>
  <c r="BH13" i="11" a="1"/>
  <c r="BH13" i="11" s="1"/>
  <c r="BG13" i="11" a="1"/>
  <c r="BG13" i="11" s="1"/>
  <c r="BF13" i="11" a="1"/>
  <c r="BF13" i="11" s="1"/>
  <c r="BE13" i="11" a="1"/>
  <c r="BE13" i="11" s="1"/>
  <c r="BD13" i="11" a="1"/>
  <c r="BD13" i="11" s="1"/>
  <c r="BC13" i="11" a="1"/>
  <c r="BC13" i="11" s="1"/>
  <c r="BB13" i="11" a="1"/>
  <c r="BB13" i="11" s="1"/>
  <c r="BA13" i="11" a="1"/>
  <c r="BA13" i="11" s="1"/>
  <c r="AZ13" i="11" a="1"/>
  <c r="AZ13" i="11" s="1"/>
  <c r="AY13" i="11" a="1"/>
  <c r="AY13" i="11" s="1"/>
  <c r="Z13" i="11"/>
  <c r="H13" i="11"/>
  <c r="Z12" i="11"/>
  <c r="H12" i="11"/>
  <c r="B12" i="11"/>
  <c r="B13" i="11" s="1"/>
  <c r="Z11" i="11"/>
  <c r="H11" i="11"/>
  <c r="Z10" i="11"/>
  <c r="H10" i="11"/>
  <c r="Z9" i="11"/>
  <c r="H9" i="11"/>
  <c r="CX8" i="11" a="1"/>
  <c r="CX8" i="11" s="1"/>
  <c r="CW8" i="11" a="1"/>
  <c r="CW8" i="11" s="1"/>
  <c r="CV8" i="11" a="1"/>
  <c r="CV8" i="11" s="1"/>
  <c r="CU8" i="11" a="1"/>
  <c r="CU8" i="11" s="1"/>
  <c r="CT8" i="11" a="1"/>
  <c r="CT8" i="11" s="1"/>
  <c r="CS8" i="11" a="1"/>
  <c r="CS8" i="11" s="1"/>
  <c r="CR8" i="11" a="1"/>
  <c r="CR8" i="11" s="1"/>
  <c r="CQ8" i="11" a="1"/>
  <c r="CQ8" i="11" s="1"/>
  <c r="CP8" i="11" a="1"/>
  <c r="CP8" i="11" s="1"/>
  <c r="CO8" i="11" a="1"/>
  <c r="CO8" i="11" s="1"/>
  <c r="CN8" i="11" a="1"/>
  <c r="CN8" i="11" s="1"/>
  <c r="CM8" i="11" a="1"/>
  <c r="CM8" i="11" s="1"/>
  <c r="CL8" i="11" a="1"/>
  <c r="CL8" i="11" s="1"/>
  <c r="CK8" i="11" a="1"/>
  <c r="CK8" i="11" s="1"/>
  <c r="CJ8" i="11" a="1"/>
  <c r="CJ8" i="11" s="1"/>
  <c r="CI8" i="11" a="1"/>
  <c r="CI8" i="11" s="1"/>
  <c r="CH8" i="11" a="1"/>
  <c r="CH8" i="11" s="1"/>
  <c r="CG8" i="11" a="1"/>
  <c r="CG8" i="11" s="1"/>
  <c r="CF8" i="11" a="1"/>
  <c r="CF8" i="11" s="1"/>
  <c r="CE8" i="11" a="1"/>
  <c r="CE8" i="11" s="1"/>
  <c r="CD8" i="11" a="1"/>
  <c r="CD8" i="11" s="1"/>
  <c r="CC8" i="11" a="1"/>
  <c r="CC8" i="11" s="1"/>
  <c r="CB8" i="11" a="1"/>
  <c r="CB8" i="11" s="1"/>
  <c r="CA8" i="11" a="1"/>
  <c r="CA8" i="11" s="1"/>
  <c r="BZ8" i="11" a="1"/>
  <c r="BZ8" i="11" s="1"/>
  <c r="BY8" i="11" a="1"/>
  <c r="BY8" i="11" s="1"/>
  <c r="BX8" i="11" a="1"/>
  <c r="BX8" i="11" s="1"/>
  <c r="BW8" i="11" a="1"/>
  <c r="BW8" i="11" s="1"/>
  <c r="BV8" i="11" a="1"/>
  <c r="BV8" i="11" s="1"/>
  <c r="BU8" i="11" a="1"/>
  <c r="BU8" i="11" s="1"/>
  <c r="BT8" i="11" a="1"/>
  <c r="BT8" i="11" s="1"/>
  <c r="BS8" i="11" a="1"/>
  <c r="BS8" i="11" s="1"/>
  <c r="BR8" i="11" a="1"/>
  <c r="BR8" i="11" s="1"/>
  <c r="BQ8" i="11" a="1"/>
  <c r="BQ8" i="11" s="1"/>
  <c r="BP8" i="11" a="1"/>
  <c r="BP8" i="11" s="1"/>
  <c r="BO8" i="11" a="1"/>
  <c r="BO8" i="11" s="1"/>
  <c r="BN8" i="11" a="1"/>
  <c r="BN8" i="11" s="1"/>
  <c r="BM8" i="11" a="1"/>
  <c r="BM8" i="11" s="1"/>
  <c r="BL8" i="11" a="1"/>
  <c r="BL8" i="11" s="1"/>
  <c r="BK8" i="11" a="1"/>
  <c r="BK8" i="11" s="1"/>
  <c r="BJ8" i="11" a="1"/>
  <c r="BJ8" i="11" s="1"/>
  <c r="BI8" i="11" a="1"/>
  <c r="BI8" i="11" s="1"/>
  <c r="BH8" i="11" a="1"/>
  <c r="BH8" i="11" s="1"/>
  <c r="BG8" i="11" a="1"/>
  <c r="BG8" i="11" s="1"/>
  <c r="BF8" i="11" a="1"/>
  <c r="BF8" i="11" s="1"/>
  <c r="BE8" i="11" a="1"/>
  <c r="BE8" i="11" s="1"/>
  <c r="BD8" i="11" a="1"/>
  <c r="BD8" i="11" s="1"/>
  <c r="BC8" i="11" a="1"/>
  <c r="BC8" i="11" s="1"/>
  <c r="BB8" i="11" a="1"/>
  <c r="BB8" i="11" s="1"/>
  <c r="BA8" i="11" a="1"/>
  <c r="BA8" i="11" s="1"/>
  <c r="AZ8" i="11" a="1"/>
  <c r="AZ8" i="11" s="1"/>
  <c r="AY8" i="11" a="1"/>
  <c r="AY8" i="11" s="1"/>
  <c r="Z8" i="11"/>
  <c r="H8" i="11"/>
  <c r="Z7" i="11"/>
  <c r="H7" i="11"/>
  <c r="Z6" i="11"/>
  <c r="H6" i="11"/>
  <c r="Z5" i="11"/>
  <c r="H5" i="11"/>
  <c r="Z4" i="11"/>
  <c r="H4" i="11"/>
  <c r="Z3" i="11"/>
  <c r="H3" i="11"/>
  <c r="B3" i="11"/>
  <c r="B26" i="11" l="1"/>
  <c r="B14" i="11"/>
  <c r="B16" i="11" s="1"/>
  <c r="B4" i="11"/>
  <c r="B25" i="11"/>
  <c r="B15" i="11"/>
  <c r="N54" i="11" l="1"/>
  <c r="N48" i="11"/>
  <c r="N37" i="11"/>
  <c r="N20" i="11"/>
  <c r="N16" i="11"/>
  <c r="N11" i="11"/>
  <c r="N36" i="11"/>
  <c r="N53" i="11"/>
  <c r="N35" i="11"/>
  <c r="N25" i="11"/>
  <c r="N47" i="11"/>
  <c r="N34" i="11"/>
  <c r="N8" i="11"/>
  <c r="N52" i="11"/>
  <c r="N45" i="11"/>
  <c r="N33" i="11"/>
  <c r="N19" i="11"/>
  <c r="N7" i="11"/>
  <c r="N46" i="11"/>
  <c r="N44" i="11"/>
  <c r="N32" i="11"/>
  <c r="N24" i="11"/>
  <c r="C16" i="11"/>
  <c r="N51" i="11"/>
  <c r="N43" i="11"/>
  <c r="N31" i="11"/>
  <c r="N42" i="11"/>
  <c r="N30" i="11"/>
  <c r="N23" i="11"/>
  <c r="N6" i="11"/>
  <c r="N50" i="11"/>
  <c r="N41" i="11"/>
  <c r="N29" i="11"/>
  <c r="N13" i="11"/>
  <c r="N40" i="11"/>
  <c r="N28" i="11"/>
  <c r="N22" i="11"/>
  <c r="N18" i="11"/>
  <c r="N14" i="11"/>
  <c r="N10" i="11"/>
  <c r="N27" i="11"/>
  <c r="N15" i="11"/>
  <c r="N12" i="11"/>
  <c r="N39" i="11"/>
  <c r="N5" i="11"/>
  <c r="N49" i="11"/>
  <c r="N26" i="11"/>
  <c r="N17" i="11"/>
  <c r="N9" i="11"/>
  <c r="N21" i="11"/>
  <c r="N3" i="11"/>
  <c r="N4" i="11"/>
  <c r="N38" i="11"/>
  <c r="M38" i="11"/>
  <c r="M26" i="11"/>
  <c r="M17" i="11"/>
  <c r="M54" i="11"/>
  <c r="M48" i="11"/>
  <c r="M37" i="11"/>
  <c r="M16" i="11"/>
  <c r="M11" i="11"/>
  <c r="M36" i="11"/>
  <c r="M53" i="11"/>
  <c r="M35" i="11"/>
  <c r="M25" i="11"/>
  <c r="C15" i="11"/>
  <c r="M47" i="11"/>
  <c r="M34" i="11"/>
  <c r="M8" i="11"/>
  <c r="M52" i="11"/>
  <c r="M45" i="11"/>
  <c r="M33" i="11"/>
  <c r="M19" i="11"/>
  <c r="M46" i="11"/>
  <c r="M44" i="11"/>
  <c r="M32" i="11"/>
  <c r="M24" i="11"/>
  <c r="M51" i="11"/>
  <c r="M43" i="11"/>
  <c r="M31" i="11"/>
  <c r="M42" i="11"/>
  <c r="M30" i="11"/>
  <c r="M23" i="11"/>
  <c r="M50" i="11"/>
  <c r="M41" i="11"/>
  <c r="M29" i="11"/>
  <c r="M13" i="11"/>
  <c r="M18" i="11"/>
  <c r="M5" i="11"/>
  <c r="M6" i="11"/>
  <c r="M4" i="11"/>
  <c r="M27" i="11"/>
  <c r="M7" i="11"/>
  <c r="M15" i="11"/>
  <c r="M12" i="11"/>
  <c r="M39" i="11"/>
  <c r="M14" i="11"/>
  <c r="M49" i="11"/>
  <c r="M9" i="11"/>
  <c r="M28" i="11"/>
  <c r="M40" i="11"/>
  <c r="M3" i="11"/>
  <c r="M10" i="11"/>
  <c r="B5" i="11"/>
  <c r="B7" i="11" s="1"/>
  <c r="R35" i="11"/>
  <c r="R25" i="11"/>
  <c r="R34" i="11"/>
  <c r="R8" i="11"/>
  <c r="R33" i="11"/>
  <c r="R19" i="11"/>
  <c r="R44" i="11"/>
  <c r="R32" i="11"/>
  <c r="R24" i="11"/>
  <c r="R9" i="11"/>
  <c r="R43" i="11"/>
  <c r="R31" i="11"/>
  <c r="C26" i="11"/>
  <c r="R42" i="11"/>
  <c r="R30" i="11"/>
  <c r="R23" i="11"/>
  <c r="R41" i="11"/>
  <c r="R29" i="11"/>
  <c r="R13" i="11"/>
  <c r="R40" i="11"/>
  <c r="R28" i="11"/>
  <c r="R22" i="11"/>
  <c r="R18" i="11"/>
  <c r="R14" i="11"/>
  <c r="R10" i="11"/>
  <c r="R39" i="11"/>
  <c r="R27" i="11"/>
  <c r="R15" i="11"/>
  <c r="R12" i="11"/>
  <c r="R38" i="11"/>
  <c r="R26" i="11"/>
  <c r="R21" i="11"/>
  <c r="R17" i="11"/>
  <c r="R5" i="11"/>
  <c r="R7" i="11"/>
  <c r="R6" i="11"/>
  <c r="R37" i="11"/>
  <c r="R20" i="11"/>
  <c r="R11" i="11"/>
  <c r="R16" i="11"/>
  <c r="R36" i="11"/>
  <c r="R3" i="11"/>
  <c r="R4" i="11"/>
  <c r="B6" i="11"/>
  <c r="Q36" i="11"/>
  <c r="Q35" i="11"/>
  <c r="Q25" i="11"/>
  <c r="Q4" i="11"/>
  <c r="Q34" i="11"/>
  <c r="Q33" i="11"/>
  <c r="Q19" i="11"/>
  <c r="Q7" i="11"/>
  <c r="Q44" i="11"/>
  <c r="Q32" i="11"/>
  <c r="Q24" i="11"/>
  <c r="Q9" i="11"/>
  <c r="Q3" i="11"/>
  <c r="Q43" i="11"/>
  <c r="Q31" i="11"/>
  <c r="Q42" i="11"/>
  <c r="Q30" i="11"/>
  <c r="Q23" i="11"/>
  <c r="Q41" i="11"/>
  <c r="Q29" i="11"/>
  <c r="C25" i="11"/>
  <c r="Q13" i="11"/>
  <c r="Q40" i="11"/>
  <c r="Q28" i="11"/>
  <c r="Q22" i="11"/>
  <c r="Q18" i="11"/>
  <c r="Q14" i="11"/>
  <c r="Q10" i="11"/>
  <c r="Q39" i="11"/>
  <c r="Q27" i="11"/>
  <c r="Q15" i="11"/>
  <c r="Q12" i="11"/>
  <c r="Q20" i="11"/>
  <c r="Q6" i="11"/>
  <c r="Q5" i="11"/>
  <c r="Q17" i="11"/>
  <c r="Q37" i="11"/>
  <c r="Q8" i="11"/>
  <c r="Q16" i="11"/>
  <c r="Q26" i="11"/>
  <c r="Q11" i="11"/>
  <c r="Q21" i="11"/>
  <c r="Q38" i="11"/>
  <c r="J49" i="11" l="1"/>
  <c r="AA49" i="11" s="1"/>
  <c r="J39" i="11"/>
  <c r="AA42" i="11" s="1"/>
  <c r="J27" i="11"/>
  <c r="AA27" i="11" s="1"/>
  <c r="J15" i="11"/>
  <c r="AA15" i="11" s="1"/>
  <c r="J12" i="11"/>
  <c r="AA12" i="11" s="1"/>
  <c r="J38" i="11"/>
  <c r="AA39" i="11" s="1"/>
  <c r="J26" i="11"/>
  <c r="AA26" i="11" s="1"/>
  <c r="J21" i="11"/>
  <c r="J17" i="11"/>
  <c r="AA17" i="11" s="1"/>
  <c r="J5" i="11"/>
  <c r="AA5" i="11" s="1"/>
  <c r="J54" i="11"/>
  <c r="AA54" i="11" s="1"/>
  <c r="J48" i="11"/>
  <c r="AA37" i="11" s="1"/>
  <c r="J37" i="11"/>
  <c r="AA38" i="11" s="1"/>
  <c r="J20" i="11"/>
  <c r="J16" i="11"/>
  <c r="AA16" i="11" s="1"/>
  <c r="J11" i="11"/>
  <c r="AA11" i="11" s="1"/>
  <c r="J36" i="11"/>
  <c r="AA36" i="11" s="1"/>
  <c r="J53" i="11"/>
  <c r="AA53" i="11" s="1"/>
  <c r="J35" i="11"/>
  <c r="AA35" i="11" s="1"/>
  <c r="J25" i="11"/>
  <c r="AA25" i="11" s="1"/>
  <c r="J4" i="11"/>
  <c r="AA4" i="11" s="1"/>
  <c r="J47" i="11"/>
  <c r="AA41" i="11" s="1"/>
  <c r="J34" i="11"/>
  <c r="AA34" i="11" s="1"/>
  <c r="J52" i="11"/>
  <c r="AA52" i="11" s="1"/>
  <c r="J45" i="11"/>
  <c r="AA48" i="11" s="1"/>
  <c r="J33" i="11"/>
  <c r="AA33" i="11" s="1"/>
  <c r="J19" i="11"/>
  <c r="AA19" i="11" s="1"/>
  <c r="J46" i="11"/>
  <c r="AA40" i="11" s="1"/>
  <c r="J44" i="11"/>
  <c r="AA47" i="11" s="1"/>
  <c r="J32" i="11"/>
  <c r="AA32" i="11" s="1"/>
  <c r="J24" i="11"/>
  <c r="AA24" i="11" s="1"/>
  <c r="J9" i="11"/>
  <c r="AA9" i="11" s="1"/>
  <c r="J3" i="11"/>
  <c r="J51" i="11"/>
  <c r="AA51" i="11" s="1"/>
  <c r="J43" i="11"/>
  <c r="AA46" i="11" s="1"/>
  <c r="J31" i="11"/>
  <c r="AA31" i="11" s="1"/>
  <c r="J42" i="11"/>
  <c r="AA45" i="11" s="1"/>
  <c r="J30" i="11"/>
  <c r="AA30" i="11" s="1"/>
  <c r="J23" i="11"/>
  <c r="AA23" i="11" s="1"/>
  <c r="C7" i="11"/>
  <c r="J6" i="11"/>
  <c r="AA6" i="11" s="1"/>
  <c r="J40" i="11"/>
  <c r="AA43" i="11" s="1"/>
  <c r="J22" i="11"/>
  <c r="J18" i="11"/>
  <c r="AA18" i="11" s="1"/>
  <c r="J29" i="11"/>
  <c r="AA29" i="11" s="1"/>
  <c r="J7" i="11"/>
  <c r="AA7" i="11" s="1"/>
  <c r="J13" i="11"/>
  <c r="AA13" i="11" s="1"/>
  <c r="J10" i="11"/>
  <c r="AA10" i="11" s="1"/>
  <c r="J41" i="11"/>
  <c r="AA44" i="11" s="1"/>
  <c r="J14" i="11"/>
  <c r="AA14" i="11" s="1"/>
  <c r="J8" i="11"/>
  <c r="AA8" i="11" s="1"/>
  <c r="J28" i="11"/>
  <c r="AA28" i="11" s="1"/>
  <c r="J50" i="11"/>
  <c r="AA50" i="11" s="1"/>
  <c r="E53" i="11"/>
  <c r="E56" i="11"/>
  <c r="E49" i="11"/>
  <c r="E66" i="11"/>
  <c r="E57" i="11"/>
  <c r="E64" i="11"/>
  <c r="E63" i="11"/>
  <c r="E65" i="11"/>
  <c r="I40" i="11"/>
  <c r="I28" i="11"/>
  <c r="I22" i="11"/>
  <c r="I18" i="11"/>
  <c r="I14" i="11"/>
  <c r="I10" i="11"/>
  <c r="I49" i="11"/>
  <c r="I39" i="11"/>
  <c r="I27" i="11"/>
  <c r="I15" i="11"/>
  <c r="I12" i="11"/>
  <c r="I38" i="11"/>
  <c r="I26" i="11"/>
  <c r="I21" i="11"/>
  <c r="I17" i="11"/>
  <c r="I54" i="11"/>
  <c r="I48" i="11"/>
  <c r="I37" i="11"/>
  <c r="I20" i="11"/>
  <c r="I16" i="11"/>
  <c r="I11" i="11"/>
  <c r="I36" i="11"/>
  <c r="I53" i="11"/>
  <c r="I35" i="11"/>
  <c r="I25" i="11"/>
  <c r="I47" i="11"/>
  <c r="I34" i="11"/>
  <c r="I52" i="11"/>
  <c r="I45" i="11"/>
  <c r="I33" i="11"/>
  <c r="I19" i="11"/>
  <c r="I7" i="11"/>
  <c r="I46" i="11"/>
  <c r="I44" i="11"/>
  <c r="I32" i="11"/>
  <c r="I24" i="11"/>
  <c r="I9" i="11"/>
  <c r="I51" i="11"/>
  <c r="I43" i="11"/>
  <c r="I31" i="11"/>
  <c r="I50" i="11"/>
  <c r="I5" i="11"/>
  <c r="I42" i="11"/>
  <c r="I6" i="11"/>
  <c r="I29" i="11"/>
  <c r="C6" i="11"/>
  <c r="I13" i="11"/>
  <c r="I8" i="11"/>
  <c r="I4" i="11"/>
  <c r="I41" i="11"/>
  <c r="I23" i="11"/>
  <c r="I30" i="11"/>
  <c r="I3" i="11"/>
  <c r="AC28" i="11" l="1" a="1"/>
  <c r="AC28" i="11" s="1"/>
  <c r="AB28" i="11" a="1"/>
  <c r="AB28" i="11" s="1"/>
  <c r="AD28" i="11" a="1"/>
  <c r="AD28" i="11" s="1"/>
  <c r="AB40" i="11" a="1"/>
  <c r="AB40" i="11" s="1"/>
  <c r="AD40" i="11" a="1"/>
  <c r="AD40" i="11" s="1"/>
  <c r="AB11" i="11" a="1"/>
  <c r="AB11" i="11" s="1"/>
  <c r="AC11" i="11" a="1"/>
  <c r="AC11" i="11" s="1"/>
  <c r="AD11" i="11" a="1"/>
  <c r="AD11" i="11" s="1"/>
  <c r="AB15" i="11" a="1"/>
  <c r="AB15" i="11" s="1"/>
  <c r="AC15" i="11" a="1"/>
  <c r="AC15" i="11" s="1"/>
  <c r="AD15" i="11" a="1"/>
  <c r="AD15" i="11" s="1"/>
  <c r="AC16" i="11" a="1"/>
  <c r="AC16" i="11" s="1"/>
  <c r="AB16" i="11" a="1"/>
  <c r="AB16" i="11" s="1"/>
  <c r="AD16" i="11" a="1"/>
  <c r="AD16" i="11" s="1"/>
  <c r="AC50" i="11" a="1"/>
  <c r="AC50" i="11" s="1"/>
  <c r="AD50" i="11" a="1"/>
  <c r="AD50" i="11" s="1"/>
  <c r="AB50" i="11" a="1"/>
  <c r="AB50" i="11" s="1"/>
  <c r="AD12" i="11" a="1"/>
  <c r="AD12" i="11" s="1"/>
  <c r="AC12" i="11" a="1"/>
  <c r="AC12" i="11" s="1"/>
  <c r="AB12" i="11" a="1"/>
  <c r="AB12" i="11" s="1"/>
  <c r="AC8" i="11" a="1"/>
  <c r="AC8" i="11" s="1"/>
  <c r="AB8" i="11" a="1"/>
  <c r="AB8" i="11" s="1"/>
  <c r="AD8" i="11" a="1"/>
  <c r="AD8" i="11" s="1"/>
  <c r="AC19" i="11" a="1"/>
  <c r="AC19" i="11" s="1"/>
  <c r="AB19" i="11" a="1"/>
  <c r="AB19" i="11" s="1"/>
  <c r="AD19" i="11" a="1"/>
  <c r="AD19" i="11" s="1"/>
  <c r="AB27" i="11" a="1"/>
  <c r="AB27" i="11" s="1"/>
  <c r="AC27" i="11" a="1"/>
  <c r="AC27" i="11" s="1"/>
  <c r="AD27" i="11" a="1"/>
  <c r="AD27" i="11" s="1"/>
  <c r="AD14" i="11" a="1"/>
  <c r="AD14" i="11" s="1"/>
  <c r="AC14" i="11" a="1"/>
  <c r="AC14" i="11" s="1"/>
  <c r="AB14" i="11" a="1"/>
  <c r="AB14" i="11" s="1"/>
  <c r="AC30" i="11" a="1"/>
  <c r="AC30" i="11" s="1"/>
  <c r="AD30" i="11" a="1"/>
  <c r="AD30" i="11" s="1"/>
  <c r="AB30" i="11" a="1"/>
  <c r="AB30" i="11" s="1"/>
  <c r="AB33" i="11" a="1"/>
  <c r="AB33" i="11" s="1"/>
  <c r="AD33" i="11" a="1"/>
  <c r="AD33" i="11" s="1"/>
  <c r="AC33" i="11" a="1"/>
  <c r="AC33" i="11" s="1"/>
  <c r="M20" i="11"/>
  <c r="AA20" i="11"/>
  <c r="AB42" i="11" a="1"/>
  <c r="AB42" i="11" s="1"/>
  <c r="AC42" i="11" a="1"/>
  <c r="AC42" i="11" s="1"/>
  <c r="AD42" i="11" a="1"/>
  <c r="AD42" i="11" s="1"/>
  <c r="AD44" i="11" a="1"/>
  <c r="AD44" i="11" s="1"/>
  <c r="AB44" i="11" a="1"/>
  <c r="AB44" i="11" s="1"/>
  <c r="AC44" i="11" a="1"/>
  <c r="AC44" i="11" s="1"/>
  <c r="AB45" i="11" a="1"/>
  <c r="AB45" i="11" s="1"/>
  <c r="AC45" i="11" a="1"/>
  <c r="AC45" i="11" s="1"/>
  <c r="AD45" i="11" a="1"/>
  <c r="AD45" i="11" s="1"/>
  <c r="AB48" i="11" a="1"/>
  <c r="AB48" i="11" s="1"/>
  <c r="AC48" i="11" a="1"/>
  <c r="AC48" i="11" s="1"/>
  <c r="AD48" i="11" a="1"/>
  <c r="AD48" i="11" s="1"/>
  <c r="AB38" i="11" a="1"/>
  <c r="AB38" i="11" s="1"/>
  <c r="AD38" i="11" a="1"/>
  <c r="AD38" i="11" s="1"/>
  <c r="AC38" i="11" a="1"/>
  <c r="AC38" i="11" s="1"/>
  <c r="AB49" i="11" a="1"/>
  <c r="AB49" i="11" s="1"/>
  <c r="AC49" i="11" a="1"/>
  <c r="AC49" i="11" s="1"/>
  <c r="AD49" i="11" a="1"/>
  <c r="AD49" i="11" s="1"/>
  <c r="AF5" i="11"/>
  <c r="AB10" i="11" a="1"/>
  <c r="AB10" i="11" s="1"/>
  <c r="AC10" i="11" a="1"/>
  <c r="AC10" i="11" s="1"/>
  <c r="AD10" i="11" a="1"/>
  <c r="AD10" i="11" s="1"/>
  <c r="AC31" i="11" a="1"/>
  <c r="AC31" i="11" s="1"/>
  <c r="AD31" i="11" a="1"/>
  <c r="AD31" i="11" s="1"/>
  <c r="AB31" i="11" a="1"/>
  <c r="AB31" i="11" s="1"/>
  <c r="AB52" i="11" a="1"/>
  <c r="AB52" i="11" s="1"/>
  <c r="AD52" i="11" a="1"/>
  <c r="AD52" i="11" s="1"/>
  <c r="AC52" i="11" a="1"/>
  <c r="AC52" i="11" s="1"/>
  <c r="AB37" i="11" a="1"/>
  <c r="AB37" i="11" s="1"/>
  <c r="AD37" i="11" a="1"/>
  <c r="AD37" i="11" s="1"/>
  <c r="AC23" i="11" a="1"/>
  <c r="AC23" i="11" s="1"/>
  <c r="AD23" i="11" a="1"/>
  <c r="AD23" i="11" s="1"/>
  <c r="AB23" i="11" a="1"/>
  <c r="AB23" i="11" s="1"/>
  <c r="AB13" i="11" a="1"/>
  <c r="AB13" i="11" s="1"/>
  <c r="AD13" i="11" a="1"/>
  <c r="AD13" i="11" s="1"/>
  <c r="AC13" i="11" a="1"/>
  <c r="AC13" i="11" s="1"/>
  <c r="AC46" i="11" a="1"/>
  <c r="AC46" i="11" s="1"/>
  <c r="AD46" i="11" a="1"/>
  <c r="AD46" i="11" s="1"/>
  <c r="AB46" i="11" a="1"/>
  <c r="AB46" i="11" s="1"/>
  <c r="AB34" i="11" a="1"/>
  <c r="AB34" i="11" s="1"/>
  <c r="AD34" i="11" a="1"/>
  <c r="AD34" i="11" s="1"/>
  <c r="AC34" i="11" a="1"/>
  <c r="AC34" i="11" s="1"/>
  <c r="AB54" i="11" a="1"/>
  <c r="AB54" i="11" s="1"/>
  <c r="AD54" i="11" a="1"/>
  <c r="AD54" i="11" s="1"/>
  <c r="AC54" i="11" a="1"/>
  <c r="AC54" i="11" s="1"/>
  <c r="AD7" i="11" a="1"/>
  <c r="AD7" i="11" s="1"/>
  <c r="AC7" i="11" a="1"/>
  <c r="AC7" i="11" s="1"/>
  <c r="AB7" i="11" a="1"/>
  <c r="AB7" i="11" s="1"/>
  <c r="AB51" i="11" a="1"/>
  <c r="AB51" i="11" s="1"/>
  <c r="AC51" i="11" a="1"/>
  <c r="AC51" i="11" s="1"/>
  <c r="AD51" i="11" a="1"/>
  <c r="AD51" i="11" s="1"/>
  <c r="AB41" i="11" a="1"/>
  <c r="AB41" i="11" s="1"/>
  <c r="AD41" i="11" a="1"/>
  <c r="AD41" i="11" s="1"/>
  <c r="AD5" i="11" a="1"/>
  <c r="AD5" i="11" s="1"/>
  <c r="AC5" i="11" a="1"/>
  <c r="AC5" i="11" s="1"/>
  <c r="AB5" i="11" a="1"/>
  <c r="AB5" i="11" s="1"/>
  <c r="AB36" i="11" a="1"/>
  <c r="AB36" i="11" s="1"/>
  <c r="AD36" i="11" a="1"/>
  <c r="AD36" i="11" s="1"/>
  <c r="AD17" i="11" a="1"/>
  <c r="AD17" i="11" s="1"/>
  <c r="AB17" i="11" a="1"/>
  <c r="AB17" i="11" s="1"/>
  <c r="AC17" i="11" a="1"/>
  <c r="AC17" i="11" s="1"/>
  <c r="AB18" i="11" a="1"/>
  <c r="AB18" i="11" s="1"/>
  <c r="AC18" i="11" a="1"/>
  <c r="AC18" i="11" s="1"/>
  <c r="AD18" i="11" a="1"/>
  <c r="AD18" i="11" s="1"/>
  <c r="AB9" i="11" a="1"/>
  <c r="AB9" i="11" s="1"/>
  <c r="AC9" i="11" a="1"/>
  <c r="AC9" i="11" s="1"/>
  <c r="AD9" i="11" a="1"/>
  <c r="AD9" i="11" s="1"/>
  <c r="AB25" i="11" a="1"/>
  <c r="AB25" i="11" s="1"/>
  <c r="AC25" i="11" a="1"/>
  <c r="AC25" i="11" s="1"/>
  <c r="AD25" i="11" a="1"/>
  <c r="AD25" i="11" s="1"/>
  <c r="M21" i="11"/>
  <c r="E88" i="11" s="1"/>
  <c r="AA21" i="11"/>
  <c r="AB47" i="11" a="1"/>
  <c r="AB47" i="11" s="1"/>
  <c r="AC47" i="11" a="1"/>
  <c r="AC47" i="11" s="1"/>
  <c r="AD47" i="11" a="1"/>
  <c r="AD47" i="11" s="1"/>
  <c r="AC4" i="11" a="1"/>
  <c r="AC4" i="11" s="1"/>
  <c r="AD4" i="11" a="1"/>
  <c r="AD4" i="11" s="1"/>
  <c r="AB4" i="11" a="1"/>
  <c r="AB4" i="11" s="1"/>
  <c r="M22" i="11"/>
  <c r="AA22" i="11"/>
  <c r="AD24" i="11" a="1"/>
  <c r="AD24" i="11" s="1"/>
  <c r="AC24" i="11" a="1"/>
  <c r="AC24" i="11" s="1"/>
  <c r="AB24" i="11" a="1"/>
  <c r="AB24" i="11" s="1"/>
  <c r="AC35" i="11" a="1"/>
  <c r="AC35" i="11" s="1"/>
  <c r="AD35" i="11" a="1"/>
  <c r="AD35" i="11" s="1"/>
  <c r="AB35" i="11" a="1"/>
  <c r="AB35" i="11" s="1"/>
  <c r="AC26" i="11" a="1"/>
  <c r="AC26" i="11" s="1"/>
  <c r="AB26" i="11" a="1"/>
  <c r="AB26" i="11" s="1"/>
  <c r="AD26" i="11" a="1"/>
  <c r="AD26" i="11" s="1"/>
  <c r="AC6" i="11" a="1"/>
  <c r="AC6" i="11" s="1"/>
  <c r="AD6" i="11" a="1"/>
  <c r="AD6" i="11" s="1"/>
  <c r="AB6" i="11" a="1"/>
  <c r="AB6" i="11" s="1"/>
  <c r="AD29" i="11" a="1"/>
  <c r="AD29" i="11" s="1"/>
  <c r="AC29" i="11" a="1"/>
  <c r="AC29" i="11" s="1"/>
  <c r="AB29" i="11" a="1"/>
  <c r="AB29" i="11" s="1"/>
  <c r="AA3" i="11"/>
  <c r="B48" i="11"/>
  <c r="AB43" i="11" a="1"/>
  <c r="AB43" i="11" s="1"/>
  <c r="AC43" i="11" a="1"/>
  <c r="AC43" i="11" s="1"/>
  <c r="AD43" i="11" a="1"/>
  <c r="AD43" i="11" s="1"/>
  <c r="AB32" i="11" a="1"/>
  <c r="AB32" i="11" s="1"/>
  <c r="AD32" i="11" a="1"/>
  <c r="AD32" i="11" s="1"/>
  <c r="AC32" i="11" a="1"/>
  <c r="AC32" i="11" s="1"/>
  <c r="AD53" i="11" a="1"/>
  <c r="AD53" i="11" s="1"/>
  <c r="AB53" i="11" a="1"/>
  <c r="AB53" i="11" s="1"/>
  <c r="AC53" i="11" a="1"/>
  <c r="AC53" i="11" s="1"/>
  <c r="AD39" i="11" a="1"/>
  <c r="AD39" i="11" s="1"/>
  <c r="AB39" i="11" a="1"/>
  <c r="AB39" i="11" s="1"/>
  <c r="AC39" i="11" a="1"/>
  <c r="AC39" i="11" s="1"/>
  <c r="E84" i="11"/>
  <c r="E51" i="11"/>
  <c r="E52" i="11"/>
  <c r="E55" i="11"/>
  <c r="E48" i="11"/>
  <c r="E54" i="11"/>
  <c r="E47" i="11"/>
  <c r="E83" i="11"/>
  <c r="E77" i="11"/>
  <c r="E61" i="11"/>
  <c r="E67" i="11"/>
  <c r="E50" i="11"/>
  <c r="F50" i="11"/>
  <c r="F48" i="11"/>
  <c r="F53" i="11"/>
  <c r="F51" i="11"/>
  <c r="F72" i="11"/>
  <c r="F68" i="11"/>
  <c r="F83" i="11"/>
  <c r="F84" i="11"/>
  <c r="F67" i="11"/>
  <c r="F87" i="11"/>
  <c r="F64" i="11"/>
  <c r="F71" i="11"/>
  <c r="F47" i="11"/>
  <c r="F60" i="11"/>
  <c r="F77" i="11"/>
  <c r="F81" i="11"/>
  <c r="F86" i="11"/>
  <c r="F70" i="11"/>
  <c r="F55" i="11"/>
  <c r="F63" i="11"/>
  <c r="F56" i="11"/>
  <c r="F80" i="11"/>
  <c r="F73" i="11"/>
  <c r="F57" i="11"/>
  <c r="F52" i="11"/>
  <c r="F78" i="11"/>
  <c r="F88" i="11"/>
  <c r="F82" i="11"/>
  <c r="F65" i="11"/>
  <c r="F54" i="11"/>
  <c r="F59" i="11"/>
  <c r="F74" i="11"/>
  <c r="F69" i="11"/>
  <c r="F85" i="11"/>
  <c r="F76" i="11"/>
  <c r="F49" i="11"/>
  <c r="F61" i="11"/>
  <c r="F75" i="11"/>
  <c r="F58" i="11"/>
  <c r="F66" i="11"/>
  <c r="F62" i="11"/>
  <c r="F79" i="11"/>
  <c r="E71" i="11" l="1"/>
  <c r="E70" i="11"/>
  <c r="E69" i="11"/>
  <c r="E78" i="11"/>
  <c r="E73" i="11"/>
  <c r="E86" i="11"/>
  <c r="E80" i="11"/>
  <c r="E62" i="11"/>
  <c r="AD22" i="11" a="1"/>
  <c r="AD22" i="11" s="1"/>
  <c r="AC22" i="11" a="1"/>
  <c r="AC22" i="11" s="1"/>
  <c r="AB22" i="11" a="1"/>
  <c r="AB22" i="11" s="1"/>
  <c r="E74" i="11"/>
  <c r="E85" i="11"/>
  <c r="E82" i="11"/>
  <c r="AD3" i="11" a="1"/>
  <c r="AD3" i="11" s="1"/>
  <c r="AC3" i="11" a="1"/>
  <c r="AC3" i="11" s="1"/>
  <c r="AB3" i="11" a="1"/>
  <c r="AB3" i="11" s="1"/>
  <c r="AH14" i="11"/>
  <c r="AH10" i="11"/>
  <c r="AF3" i="11"/>
  <c r="AF4" i="11"/>
  <c r="AB21" i="11" a="1"/>
  <c r="AB21" i="11" s="1"/>
  <c r="AD21" i="11" a="1"/>
  <c r="AD21" i="11" s="1"/>
  <c r="AC21" i="11" a="1"/>
  <c r="AC21" i="11" s="1"/>
  <c r="AD20" i="11" a="1"/>
  <c r="AD20" i="11" s="1"/>
  <c r="AC20" i="11" a="1"/>
  <c r="AC20" i="11" s="1"/>
  <c r="AB20" i="11" a="1"/>
  <c r="AB20" i="11" s="1"/>
  <c r="E76" i="11"/>
  <c r="E60" i="11"/>
  <c r="E79" i="11"/>
  <c r="E59" i="11"/>
  <c r="E68" i="11"/>
  <c r="E72" i="11"/>
  <c r="E58" i="11"/>
  <c r="E87" i="11"/>
  <c r="E81" i="11"/>
  <c r="E75" i="11"/>
  <c r="CG10" i="11" l="1"/>
  <c r="CI10" i="11"/>
  <c r="CA10" i="11"/>
  <c r="BR10" i="11"/>
  <c r="CT10" i="11"/>
  <c r="CK10" i="11"/>
  <c r="BZ10" i="11"/>
  <c r="CD10" i="11"/>
  <c r="BN10" i="11"/>
  <c r="BM10" i="11"/>
  <c r="CN10" i="11"/>
  <c r="BQ10" i="11"/>
  <c r="BH10" i="11"/>
  <c r="BV10" i="11"/>
  <c r="BP10" i="11"/>
  <c r="CE10" i="11"/>
  <c r="CV10" i="11"/>
  <c r="BG10" i="11"/>
  <c r="BW10" i="11"/>
  <c r="AZ10" i="11"/>
  <c r="CC10" i="11"/>
  <c r="CM10" i="11"/>
  <c r="BI10" i="11"/>
  <c r="CW10" i="11"/>
  <c r="CX10" i="11"/>
  <c r="CP10" i="11"/>
  <c r="AY10" i="11"/>
  <c r="BE10" i="11"/>
  <c r="BU10" i="11"/>
  <c r="CO10" i="11"/>
  <c r="BL10" i="11"/>
  <c r="CH10" i="11"/>
  <c r="BY10" i="11"/>
  <c r="CQ10" i="11"/>
  <c r="BC10" i="11"/>
  <c r="BA10" i="11"/>
  <c r="CB10" i="11"/>
  <c r="CU10" i="11"/>
  <c r="BF10" i="11"/>
  <c r="BD10" i="11"/>
  <c r="BS10" i="11"/>
  <c r="CS10" i="11"/>
  <c r="CF10" i="11"/>
  <c r="AG10" i="11"/>
  <c r="BJ10" i="11"/>
  <c r="BX10" i="11"/>
  <c r="BB10" i="11"/>
  <c r="BT10" i="11"/>
  <c r="CJ10" i="11"/>
  <c r="BO10" i="11"/>
  <c r="CL10" i="11"/>
  <c r="BK10" i="11"/>
  <c r="CR10" i="11"/>
  <c r="CR14" i="11"/>
  <c r="BC14" i="11"/>
  <c r="CK14" i="11"/>
  <c r="CI14" i="11"/>
  <c r="CU14" i="11"/>
  <c r="CH14" i="11"/>
  <c r="BP14" i="11"/>
  <c r="BB14" i="11"/>
  <c r="BN14" i="11"/>
  <c r="BA14" i="11"/>
  <c r="BG14" i="11"/>
  <c r="CN14" i="11"/>
  <c r="BE14" i="11"/>
  <c r="CL14" i="11"/>
  <c r="BL14" i="11"/>
  <c r="CA14" i="11"/>
  <c r="CV14" i="11"/>
  <c r="CE14" i="11"/>
  <c r="CQ14" i="11"/>
  <c r="CD14" i="11"/>
  <c r="CT14" i="11"/>
  <c r="BU14" i="11"/>
  <c r="CS14" i="11"/>
  <c r="CC14" i="11"/>
  <c r="BV14" i="11"/>
  <c r="BY14" i="11"/>
  <c r="BF14" i="11"/>
  <c r="BR14" i="11"/>
  <c r="BW14" i="11"/>
  <c r="BJ14" i="11"/>
  <c r="AZ14" i="11"/>
  <c r="BT14" i="11"/>
  <c r="BM14" i="11"/>
  <c r="CW14" i="11"/>
  <c r="CM14" i="11"/>
  <c r="BZ14" i="11"/>
  <c r="BX14" i="11"/>
  <c r="CP14" i="11"/>
  <c r="CB14" i="11"/>
  <c r="AY14" i="11"/>
  <c r="BQ14" i="11"/>
  <c r="CX14" i="11"/>
  <c r="CG14" i="11"/>
  <c r="BS14" i="11"/>
  <c r="BD14" i="11"/>
  <c r="CO14" i="11"/>
  <c r="BO14" i="11"/>
  <c r="CF14" i="11"/>
  <c r="AG14" i="11"/>
  <c r="BI14" i="11"/>
  <c r="BK14" i="11"/>
  <c r="CJ14" i="11"/>
  <c r="BH14" i="11"/>
  <c r="AH19" i="11"/>
  <c r="AG19" i="11" s="1"/>
  <c r="AH15" i="11"/>
  <c r="AH13" i="11" s="1"/>
  <c r="AH9" i="11"/>
  <c r="AH18" i="11"/>
  <c r="Z46" i="10"/>
  <c r="Z47" i="10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BE8" i="10" a="1"/>
  <c r="BE8" i="10" s="1"/>
  <c r="BD8" i="10" a="1"/>
  <c r="BD8" i="10" s="1"/>
  <c r="BC8" i="10" a="1"/>
  <c r="BC8" i="10" s="1"/>
  <c r="BB8" i="10" a="1"/>
  <c r="BB8" i="10" s="1"/>
  <c r="BA8" i="10" a="1"/>
  <c r="BA8" i="10" s="1"/>
  <c r="AZ8" i="10" a="1"/>
  <c r="AZ8" i="10" s="1"/>
  <c r="AY8" i="10" a="1"/>
  <c r="AY8" i="10" s="1"/>
  <c r="CW13" i="10" a="1"/>
  <c r="CW13" i="10" s="1"/>
  <c r="CX13" i="10" a="1"/>
  <c r="CX13" i="10" s="1"/>
  <c r="CS13" i="10" a="1"/>
  <c r="CS13" i="10" s="1"/>
  <c r="CT13" i="10" a="1"/>
  <c r="CT13" i="10" s="1"/>
  <c r="CU13" i="10" a="1"/>
  <c r="CU13" i="10" s="1"/>
  <c r="CV13" i="10" a="1"/>
  <c r="CV13" i="10" s="1"/>
  <c r="AZ13" i="10" a="1"/>
  <c r="AZ13" i="10" s="1"/>
  <c r="BA13" i="10" a="1"/>
  <c r="BA13" i="10" s="1"/>
  <c r="BB13" i="10" a="1"/>
  <c r="BB13" i="10" s="1"/>
  <c r="BC13" i="10" a="1"/>
  <c r="BC13" i="10" s="1"/>
  <c r="BD13" i="10" a="1"/>
  <c r="BD13" i="10" s="1"/>
  <c r="BE13" i="10" a="1"/>
  <c r="BE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AY13" i="10" a="1"/>
  <c r="AY13" i="10" s="1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Z58" i="10"/>
  <c r="D58" i="10"/>
  <c r="Z57" i="10"/>
  <c r="D57" i="10"/>
  <c r="Z56" i="10"/>
  <c r="D56" i="10"/>
  <c r="Z55" i="10"/>
  <c r="D55" i="10"/>
  <c r="Z54" i="10"/>
  <c r="H54" i="10"/>
  <c r="D54" i="10"/>
  <c r="Z53" i="10"/>
  <c r="H53" i="10"/>
  <c r="D53" i="10"/>
  <c r="Z52" i="10"/>
  <c r="H52" i="10"/>
  <c r="D52" i="10"/>
  <c r="Z51" i="10"/>
  <c r="H51" i="10"/>
  <c r="D51" i="10"/>
  <c r="Z50" i="10"/>
  <c r="H50" i="10"/>
  <c r="D50" i="10"/>
  <c r="Z49" i="10"/>
  <c r="H49" i="10"/>
  <c r="D49" i="10"/>
  <c r="Z45" i="10"/>
  <c r="H48" i="10"/>
  <c r="D48" i="10"/>
  <c r="Z44" i="10"/>
  <c r="H47" i="10"/>
  <c r="D47" i="10"/>
  <c r="Z43" i="10"/>
  <c r="H46" i="10"/>
  <c r="Z42" i="10"/>
  <c r="H45" i="10"/>
  <c r="H44" i="10"/>
  <c r="H43" i="10"/>
  <c r="Z41" i="10"/>
  <c r="H42" i="10"/>
  <c r="Z40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8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AV18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Z3" i="10"/>
  <c r="H3" i="10"/>
  <c r="B3" i="10"/>
  <c r="B4" i="10" s="1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W18" i="11" l="1"/>
  <c r="AV19" i="11" s="1"/>
  <c r="AH17" i="11"/>
  <c r="AG18" i="11"/>
  <c r="BP9" i="11"/>
  <c r="CD9" i="11"/>
  <c r="BO9" i="11"/>
  <c r="BD9" i="11"/>
  <c r="BX9" i="11"/>
  <c r="CU9" i="11"/>
  <c r="AZ9" i="11"/>
  <c r="BS9" i="11"/>
  <c r="BG9" i="11"/>
  <c r="BB9" i="11"/>
  <c r="CP9" i="11"/>
  <c r="CV9" i="11"/>
  <c r="CX9" i="11"/>
  <c r="CE9" i="11"/>
  <c r="CM9" i="11"/>
  <c r="BU9" i="11"/>
  <c r="CQ9" i="11"/>
  <c r="AW9" i="11"/>
  <c r="AV10" i="11" s="1"/>
  <c r="AV14" i="11" s="1"/>
  <c r="AW14" i="11" s="1"/>
  <c r="AV15" i="11" s="1"/>
  <c r="CC9" i="11"/>
  <c r="CF9" i="11"/>
  <c r="BC9" i="11"/>
  <c r="CW9" i="11"/>
  <c r="BV9" i="11"/>
  <c r="BZ9" i="11"/>
  <c r="AG9" i="11"/>
  <c r="AQ10" i="11" s="1"/>
  <c r="BI9" i="11"/>
  <c r="AY9" i="11"/>
  <c r="BJ9" i="11"/>
  <c r="CN9" i="11"/>
  <c r="BK9" i="11"/>
  <c r="BW9" i="11"/>
  <c r="CR9" i="11"/>
  <c r="BM9" i="11"/>
  <c r="BR9" i="11"/>
  <c r="BL9" i="11"/>
  <c r="BT9" i="11"/>
  <c r="CO9" i="11"/>
  <c r="CJ9" i="11"/>
  <c r="BF9" i="11"/>
  <c r="CL9" i="11"/>
  <c r="BE9" i="11"/>
  <c r="BY9" i="11"/>
  <c r="BA9" i="11"/>
  <c r="BQ9" i="11"/>
  <c r="CH9" i="11"/>
  <c r="AH8" i="11"/>
  <c r="CA9" i="11"/>
  <c r="BH9" i="11"/>
  <c r="CB9" i="11"/>
  <c r="CK9" i="11"/>
  <c r="CI9" i="11"/>
  <c r="BN9" i="11"/>
  <c r="CG9" i="11"/>
  <c r="CT9" i="11"/>
  <c r="CS9" i="11"/>
  <c r="CV15" i="11"/>
  <c r="CI15" i="11"/>
  <c r="BD15" i="11"/>
  <c r="CX15" i="11"/>
  <c r="BO15" i="11"/>
  <c r="CS15" i="11"/>
  <c r="BP15" i="11"/>
  <c r="BQ15" i="11"/>
  <c r="CM15" i="11"/>
  <c r="CJ15" i="11"/>
  <c r="CC15" i="11"/>
  <c r="BF15" i="11"/>
  <c r="CA15" i="11"/>
  <c r="CF15" i="11"/>
  <c r="BE15" i="11"/>
  <c r="BR15" i="11"/>
  <c r="BS15" i="11"/>
  <c r="CD15" i="11"/>
  <c r="CB15" i="11"/>
  <c r="BB15" i="11"/>
  <c r="CU15" i="11"/>
  <c r="AZ15" i="11"/>
  <c r="CH15" i="11"/>
  <c r="CN15" i="11"/>
  <c r="CT15" i="11"/>
  <c r="BK15" i="11"/>
  <c r="BN15" i="11"/>
  <c r="CR15" i="11"/>
  <c r="CP15" i="11"/>
  <c r="BW15" i="11"/>
  <c r="CE15" i="11"/>
  <c r="BL15" i="11"/>
  <c r="AY15" i="11"/>
  <c r="BM15" i="11"/>
  <c r="CQ15" i="11"/>
  <c r="BX15" i="11"/>
  <c r="BJ15" i="11"/>
  <c r="BC15" i="11"/>
  <c r="BI15" i="11"/>
  <c r="CL15" i="11"/>
  <c r="BA15" i="11"/>
  <c r="BY15" i="11"/>
  <c r="AG15" i="11"/>
  <c r="CO15" i="11"/>
  <c r="CG15" i="11"/>
  <c r="BT15" i="11"/>
  <c r="BZ15" i="11"/>
  <c r="BG15" i="11"/>
  <c r="CW15" i="11"/>
  <c r="CK15" i="11"/>
  <c r="BU15" i="11"/>
  <c r="BH15" i="11"/>
  <c r="BV15" i="11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J53" i="10" l="1"/>
  <c r="U53" i="10" s="1"/>
  <c r="AA53" i="10" s="1"/>
  <c r="J51" i="10"/>
  <c r="U51" i="10" s="1"/>
  <c r="AA51" i="10" s="1"/>
  <c r="J22" i="10"/>
  <c r="J38" i="10"/>
  <c r="U38" i="10" s="1"/>
  <c r="AA38" i="10" s="1"/>
  <c r="J35" i="10"/>
  <c r="U35" i="10" s="1"/>
  <c r="AA35" i="10" s="1"/>
  <c r="J32" i="10"/>
  <c r="U32" i="10" s="1"/>
  <c r="AA32" i="10" s="1"/>
  <c r="J29" i="10"/>
  <c r="U29" i="10" s="1"/>
  <c r="AA29" i="10" s="1"/>
  <c r="J26" i="10"/>
  <c r="U26" i="10" s="1"/>
  <c r="AA26" i="10" s="1"/>
  <c r="J10" i="10"/>
  <c r="U10" i="10" s="1"/>
  <c r="AA10" i="10" s="1"/>
  <c r="J9" i="10"/>
  <c r="U9" i="10" s="1"/>
  <c r="AA9" i="10" s="1"/>
  <c r="J41" i="10"/>
  <c r="U41" i="10" s="1"/>
  <c r="AA41" i="10" s="1"/>
  <c r="J46" i="10"/>
  <c r="U46" i="10" s="1"/>
  <c r="AA46" i="10" s="1"/>
  <c r="J20" i="10"/>
  <c r="J44" i="10"/>
  <c r="U44" i="10" s="1"/>
  <c r="AA44" i="10" s="1"/>
  <c r="J19" i="10"/>
  <c r="U19" i="10" s="1"/>
  <c r="AA19" i="10" s="1"/>
  <c r="J6" i="10"/>
  <c r="U6" i="10" s="1"/>
  <c r="AA6" i="10" s="1"/>
  <c r="J3" i="10"/>
  <c r="U3" i="10" s="1"/>
  <c r="AA3" i="10" s="1"/>
  <c r="J36" i="10"/>
  <c r="U36" i="10" s="1"/>
  <c r="AA36" i="10" s="1"/>
  <c r="J33" i="10"/>
  <c r="U33" i="10" s="1"/>
  <c r="AA33" i="10" s="1"/>
  <c r="J30" i="10"/>
  <c r="U30" i="10" s="1"/>
  <c r="AA30" i="10" s="1"/>
  <c r="J27" i="10"/>
  <c r="U27" i="10" s="1"/>
  <c r="AA27" i="10" s="1"/>
  <c r="J18" i="10"/>
  <c r="U18" i="10" s="1"/>
  <c r="AA18" i="10" s="1"/>
  <c r="J15" i="10"/>
  <c r="U15" i="10" s="1"/>
  <c r="AA15" i="10" s="1"/>
  <c r="J12" i="10"/>
  <c r="U12" i="10" s="1"/>
  <c r="AA12" i="10" s="1"/>
  <c r="J54" i="10"/>
  <c r="U54" i="10" s="1"/>
  <c r="AA54" i="10" s="1"/>
  <c r="J52" i="10"/>
  <c r="U52" i="10" s="1"/>
  <c r="AA52" i="10" s="1"/>
  <c r="J50" i="10"/>
  <c r="U50" i="10" s="1"/>
  <c r="AA50" i="10" s="1"/>
  <c r="J47" i="10"/>
  <c r="U47" i="10" s="1"/>
  <c r="AA47" i="10" s="1"/>
  <c r="J39" i="10"/>
  <c r="U39" i="10" s="1"/>
  <c r="AA39" i="10" s="1"/>
  <c r="J17" i="10"/>
  <c r="U17" i="10" s="1"/>
  <c r="AA17" i="10" s="1"/>
  <c r="J14" i="10"/>
  <c r="U14" i="10" s="1"/>
  <c r="AA14" i="10" s="1"/>
  <c r="J7" i="10"/>
  <c r="U7" i="10" s="1"/>
  <c r="AA7" i="10" s="1"/>
  <c r="J5" i="10"/>
  <c r="U5" i="10" s="1"/>
  <c r="AA5" i="10" s="1"/>
  <c r="J4" i="10"/>
  <c r="U4" i="10" s="1"/>
  <c r="AA4" i="10" s="1"/>
  <c r="J42" i="10"/>
  <c r="U42" i="10" s="1"/>
  <c r="AA42" i="10" s="1"/>
  <c r="J16" i="10"/>
  <c r="U16" i="10" s="1"/>
  <c r="AA16" i="10" s="1"/>
  <c r="J13" i="10"/>
  <c r="U13" i="10" s="1"/>
  <c r="AA13" i="10" s="1"/>
  <c r="J48" i="10"/>
  <c r="U48" i="10" s="1"/>
  <c r="AA48" i="10" s="1"/>
  <c r="J24" i="10"/>
  <c r="U24" i="10" s="1"/>
  <c r="AA24" i="10" s="1"/>
  <c r="J45" i="10"/>
  <c r="U45" i="10" s="1"/>
  <c r="AA45" i="10" s="1"/>
  <c r="J37" i="10"/>
  <c r="U37" i="10" s="1"/>
  <c r="AA37" i="10" s="1"/>
  <c r="J34" i="10"/>
  <c r="U34" i="10" s="1"/>
  <c r="AA34" i="10" s="1"/>
  <c r="J31" i="10"/>
  <c r="U31" i="10" s="1"/>
  <c r="AA31" i="10" s="1"/>
  <c r="J28" i="10"/>
  <c r="U28" i="10" s="1"/>
  <c r="AA28" i="10" s="1"/>
  <c r="C7" i="10"/>
  <c r="J40" i="10"/>
  <c r="U40" i="10" s="1"/>
  <c r="AA40" i="10" s="1"/>
  <c r="J23" i="10"/>
  <c r="U23" i="10" s="1"/>
  <c r="AA23" i="10" s="1"/>
  <c r="J11" i="10"/>
  <c r="U11" i="10" s="1"/>
  <c r="AA11" i="10" s="1"/>
  <c r="J25" i="10"/>
  <c r="U25" i="10" s="1"/>
  <c r="AA25" i="10" s="1"/>
  <c r="J21" i="10"/>
  <c r="J8" i="10"/>
  <c r="U8" i="10" s="1"/>
  <c r="AA8" i="10" s="1"/>
  <c r="J49" i="10"/>
  <c r="U49" i="10" s="1"/>
  <c r="AA49" i="10" s="1"/>
  <c r="AF5" i="10" s="1"/>
  <c r="J43" i="10"/>
  <c r="U43" i="10" s="1"/>
  <c r="AA43" i="10" s="1"/>
  <c r="I49" i="10"/>
  <c r="V49" i="10" s="1"/>
  <c r="I43" i="10"/>
  <c r="V43" i="10" s="1"/>
  <c r="I53" i="10"/>
  <c r="V53" i="10" s="1"/>
  <c r="I51" i="10"/>
  <c r="V51" i="10" s="1"/>
  <c r="I22" i="10"/>
  <c r="V22" i="10" s="1"/>
  <c r="I38" i="10"/>
  <c r="V38" i="10" s="1"/>
  <c r="I35" i="10"/>
  <c r="V35" i="10" s="1"/>
  <c r="I32" i="10"/>
  <c r="V32" i="10" s="1"/>
  <c r="I29" i="10"/>
  <c r="V29" i="10" s="1"/>
  <c r="I26" i="10"/>
  <c r="V26" i="10" s="1"/>
  <c r="I41" i="10"/>
  <c r="V41" i="10" s="1"/>
  <c r="I21" i="10"/>
  <c r="V21" i="10" s="1"/>
  <c r="I11" i="10"/>
  <c r="V11" i="10" s="1"/>
  <c r="I46" i="10"/>
  <c r="V46" i="10" s="1"/>
  <c r="I20" i="10"/>
  <c r="V20" i="10" s="1"/>
  <c r="I3" i="10"/>
  <c r="V3" i="10" s="1"/>
  <c r="I44" i="10"/>
  <c r="V44" i="10" s="1"/>
  <c r="I19" i="10"/>
  <c r="V19" i="10" s="1"/>
  <c r="I6" i="10"/>
  <c r="V6" i="10" s="1"/>
  <c r="I36" i="10"/>
  <c r="V36" i="10" s="1"/>
  <c r="I33" i="10"/>
  <c r="V33" i="10" s="1"/>
  <c r="I30" i="10"/>
  <c r="V30" i="10" s="1"/>
  <c r="I27" i="10"/>
  <c r="V27" i="10" s="1"/>
  <c r="I18" i="10"/>
  <c r="V18" i="10" s="1"/>
  <c r="I15" i="10"/>
  <c r="V15" i="10" s="1"/>
  <c r="I12" i="10"/>
  <c r="V12" i="10" s="1"/>
  <c r="I54" i="10"/>
  <c r="V54" i="10" s="1"/>
  <c r="I52" i="10"/>
  <c r="V52" i="10" s="1"/>
  <c r="I50" i="10"/>
  <c r="V50" i="10" s="1"/>
  <c r="I47" i="10"/>
  <c r="V47" i="10" s="1"/>
  <c r="I39" i="10"/>
  <c r="V39" i="10" s="1"/>
  <c r="I17" i="10"/>
  <c r="V17" i="10" s="1"/>
  <c r="I14" i="10"/>
  <c r="V14" i="10" s="1"/>
  <c r="I7" i="10"/>
  <c r="V7" i="10" s="1"/>
  <c r="C6" i="10"/>
  <c r="I5" i="10"/>
  <c r="V5" i="10" s="1"/>
  <c r="I4" i="10"/>
  <c r="V4" i="10" s="1"/>
  <c r="I42" i="10"/>
  <c r="V42" i="10" s="1"/>
  <c r="I16" i="10"/>
  <c r="V16" i="10" s="1"/>
  <c r="I13" i="10"/>
  <c r="V13" i="10" s="1"/>
  <c r="I48" i="10"/>
  <c r="V48" i="10" s="1"/>
  <c r="I24" i="10"/>
  <c r="V24" i="10" s="1"/>
  <c r="I10" i="10"/>
  <c r="V10" i="10" s="1"/>
  <c r="I40" i="10"/>
  <c r="V40" i="10" s="1"/>
  <c r="I28" i="10"/>
  <c r="V28" i="10" s="1"/>
  <c r="I23" i="10"/>
  <c r="V23" i="10" s="1"/>
  <c r="I9" i="10"/>
  <c r="V9" i="10" s="1"/>
  <c r="I34" i="10"/>
  <c r="V34" i="10" s="1"/>
  <c r="I31" i="10"/>
  <c r="V31" i="10" s="1"/>
  <c r="I25" i="10"/>
  <c r="V25" i="10" s="1"/>
  <c r="I8" i="10"/>
  <c r="V8" i="10" s="1"/>
  <c r="I37" i="10"/>
  <c r="V37" i="10" s="1"/>
  <c r="I45" i="10"/>
  <c r="V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54" i="10"/>
  <c r="N52" i="10"/>
  <c r="N50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9" i="10"/>
  <c r="N43" i="10"/>
  <c r="N32" i="10"/>
  <c r="N38" i="10"/>
  <c r="N19" i="10"/>
  <c r="N10" i="10"/>
  <c r="N26" i="10"/>
  <c r="N53" i="10"/>
  <c r="N51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54" i="10"/>
  <c r="M52" i="10"/>
  <c r="M50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53" i="10"/>
  <c r="M51" i="10"/>
  <c r="M49" i="10"/>
  <c r="M43" i="10"/>
  <c r="C62" i="9"/>
  <c r="C56" i="9"/>
  <c r="C50" i="9"/>
  <c r="C44" i="9"/>
  <c r="C38" i="9"/>
  <c r="C32" i="9"/>
  <c r="C26" i="9"/>
  <c r="C20" i="9"/>
  <c r="C14" i="9"/>
  <c r="C15" i="9"/>
  <c r="C61" i="9"/>
  <c r="C55" i="9"/>
  <c r="C49" i="9"/>
  <c r="C43" i="9"/>
  <c r="C37" i="9"/>
  <c r="C31" i="9"/>
  <c r="C25" i="9"/>
  <c r="C19" i="9"/>
  <c r="C13" i="9"/>
  <c r="C27" i="9"/>
  <c r="C60" i="9"/>
  <c r="C54" i="9"/>
  <c r="C48" i="9"/>
  <c r="C42" i="9"/>
  <c r="C36" i="9"/>
  <c r="C30" i="9"/>
  <c r="C24" i="9"/>
  <c r="C18" i="9"/>
  <c r="C12" i="9"/>
  <c r="C21" i="9"/>
  <c r="C33" i="9"/>
  <c r="C59" i="9"/>
  <c r="C53" i="9"/>
  <c r="C47" i="9"/>
  <c r="C41" i="9"/>
  <c r="C35" i="9"/>
  <c r="C29" i="9"/>
  <c r="C23" i="9"/>
  <c r="C17" i="9"/>
  <c r="C11" i="9"/>
  <c r="C39" i="9"/>
  <c r="C57" i="9"/>
  <c r="C58" i="9"/>
  <c r="C52" i="9"/>
  <c r="C46" i="9"/>
  <c r="C40" i="9"/>
  <c r="C34" i="9"/>
  <c r="C28" i="9"/>
  <c r="C22" i="9"/>
  <c r="C16" i="9"/>
  <c r="C8" i="9"/>
  <c r="C45" i="9"/>
  <c r="C51" i="9"/>
  <c r="AB24" i="10" l="1"/>
  <c r="W24" i="10" a="1"/>
  <c r="W24" i="10" s="1"/>
  <c r="AC24" i="10" s="1"/>
  <c r="AB47" i="10"/>
  <c r="W47" i="10" a="1"/>
  <c r="W47" i="10" s="1"/>
  <c r="AC47" i="10" s="1"/>
  <c r="AB19" i="10"/>
  <c r="W19" i="10" a="1"/>
  <c r="W19" i="10" s="1"/>
  <c r="AC19" i="10" s="1"/>
  <c r="W38" i="10" a="1"/>
  <c r="W38" i="10" s="1"/>
  <c r="AC38" i="10" s="1"/>
  <c r="AB38" i="10"/>
  <c r="AB45" i="10"/>
  <c r="W45" i="10" a="1"/>
  <c r="W45" i="10" s="1"/>
  <c r="AC45" i="10" s="1"/>
  <c r="AB48" i="10"/>
  <c r="W48" i="10" a="1"/>
  <c r="W48" i="10" s="1"/>
  <c r="AC48" i="10" s="1"/>
  <c r="W50" i="10" a="1"/>
  <c r="W50" i="10" s="1"/>
  <c r="AC50" i="10" s="1"/>
  <c r="AB50" i="10"/>
  <c r="W44" i="10" a="1"/>
  <c r="W44" i="10" s="1"/>
  <c r="AC44" i="10" s="1"/>
  <c r="AB44" i="10"/>
  <c r="W22" i="10" a="1"/>
  <c r="W22" i="10" s="1"/>
  <c r="AC22" i="10" s="1"/>
  <c r="AB22" i="10"/>
  <c r="W37" i="10" a="1"/>
  <c r="W37" i="10" s="1"/>
  <c r="AC37" i="10" s="1"/>
  <c r="AB37" i="10"/>
  <c r="AB46" i="10"/>
  <c r="W46" i="10" a="1"/>
  <c r="W46" i="10" s="1"/>
  <c r="AC46" i="10" s="1"/>
  <c r="W31" i="10" a="1"/>
  <c r="W31" i="10" s="1"/>
  <c r="AC31" i="10" s="1"/>
  <c r="AB31" i="10"/>
  <c r="AB4" i="10"/>
  <c r="W4" i="10" a="1"/>
  <c r="W4" i="10" s="1"/>
  <c r="AC4" i="10" s="1"/>
  <c r="AB15" i="10"/>
  <c r="W15" i="10" a="1"/>
  <c r="W15" i="10" s="1"/>
  <c r="AC15" i="10" s="1"/>
  <c r="W11" i="10" a="1"/>
  <c r="W11" i="10" s="1"/>
  <c r="AC11" i="10" s="1"/>
  <c r="AB11" i="10"/>
  <c r="AB49" i="10"/>
  <c r="W49" i="10" a="1"/>
  <c r="W49" i="10" s="1"/>
  <c r="AC49" i="10" s="1"/>
  <c r="W10" i="10" a="1"/>
  <c r="W10" i="10" s="1"/>
  <c r="AC10" i="10" s="1"/>
  <c r="AB10" i="10"/>
  <c r="AB54" i="10"/>
  <c r="W54" i="10" a="1"/>
  <c r="W54" i="10" s="1"/>
  <c r="AC54" i="10" s="1"/>
  <c r="AB12" i="10"/>
  <c r="W12" i="10" a="1"/>
  <c r="W12" i="10" s="1"/>
  <c r="AC12" i="10" s="1"/>
  <c r="W43" i="10" a="1"/>
  <c r="W43" i="10" s="1"/>
  <c r="AC43" i="10" s="1"/>
  <c r="AB43" i="10"/>
  <c r="W34" i="10" a="1"/>
  <c r="W34" i="10" s="1"/>
  <c r="AC34" i="10" s="1"/>
  <c r="AB34" i="10"/>
  <c r="W5" i="10" a="1"/>
  <c r="W5" i="10" s="1"/>
  <c r="AC5" i="10" s="1"/>
  <c r="AB5" i="10"/>
  <c r="AB18" i="10"/>
  <c r="W18" i="10" a="1"/>
  <c r="W18" i="10" s="1"/>
  <c r="AC18" i="10" s="1"/>
  <c r="AB21" i="10"/>
  <c r="W21" i="10" a="1"/>
  <c r="W21" i="10" s="1"/>
  <c r="AC21" i="10" s="1"/>
  <c r="W35" i="10" a="1"/>
  <c r="W35" i="10" s="1"/>
  <c r="AC35" i="10" s="1"/>
  <c r="AB35" i="10"/>
  <c r="W53" i="10" a="1"/>
  <c r="W53" i="10" s="1"/>
  <c r="AC53" i="10" s="1"/>
  <c r="AB53" i="10"/>
  <c r="AB25" i="10"/>
  <c r="W25" i="10" a="1"/>
  <c r="W25" i="10" s="1"/>
  <c r="AC25" i="10" s="1"/>
  <c r="W9" i="10" a="1"/>
  <c r="W9" i="10" s="1"/>
  <c r="AC9" i="10" s="1"/>
  <c r="AB9" i="10"/>
  <c r="AB27" i="10"/>
  <c r="W27" i="10" a="1"/>
  <c r="W27" i="10" s="1"/>
  <c r="AC27" i="10" s="1"/>
  <c r="W41" i="10" a="1"/>
  <c r="W41" i="10" s="1"/>
  <c r="AC41" i="10" s="1"/>
  <c r="AB41" i="10"/>
  <c r="W52" i="10" a="1"/>
  <c r="W52" i="10" s="1"/>
  <c r="AC52" i="10" s="1"/>
  <c r="AB52" i="10"/>
  <c r="W51" i="10" a="1"/>
  <c r="W51" i="10" s="1"/>
  <c r="AC51" i="10" s="1"/>
  <c r="AB51" i="10"/>
  <c r="W8" i="10" a="1"/>
  <c r="W8" i="10" s="1"/>
  <c r="AC8" i="10" s="1"/>
  <c r="AB8" i="10"/>
  <c r="W20" i="10" a="1"/>
  <c r="W20" i="10" s="1"/>
  <c r="AC20" i="10" s="1"/>
  <c r="AB20" i="10"/>
  <c r="W23" i="10" a="1"/>
  <c r="W23" i="10" s="1"/>
  <c r="AC23" i="10" s="1"/>
  <c r="AB23" i="10"/>
  <c r="W7" i="10" a="1"/>
  <c r="W7" i="10" s="1"/>
  <c r="AC7" i="10" s="1"/>
  <c r="AB7" i="10"/>
  <c r="W30" i="10" a="1"/>
  <c r="W30" i="10" s="1"/>
  <c r="AC30" i="10" s="1"/>
  <c r="AB30" i="10"/>
  <c r="W26" i="10" a="1"/>
  <c r="W26" i="10" s="1"/>
  <c r="AC26" i="10" s="1"/>
  <c r="AB26" i="10"/>
  <c r="AB39" i="10"/>
  <c r="W39" i="10" a="1"/>
  <c r="W39" i="10" s="1"/>
  <c r="AC39" i="10" s="1"/>
  <c r="W13" i="10" a="1"/>
  <c r="W13" i="10" s="1"/>
  <c r="AC13" i="10" s="1"/>
  <c r="AB13" i="10"/>
  <c r="AB42" i="10"/>
  <c r="W42" i="10" a="1"/>
  <c r="W42" i="10" s="1"/>
  <c r="AC42" i="10" s="1"/>
  <c r="AB28" i="10"/>
  <c r="W28" i="10" a="1"/>
  <c r="W28" i="10" s="1"/>
  <c r="AC28" i="10" s="1"/>
  <c r="W14" i="10" a="1"/>
  <c r="W14" i="10" s="1"/>
  <c r="AC14" i="10" s="1"/>
  <c r="AB14" i="10"/>
  <c r="AB33" i="10"/>
  <c r="W33" i="10" a="1"/>
  <c r="W33" i="10" s="1"/>
  <c r="AC33" i="10" s="1"/>
  <c r="W29" i="10" a="1"/>
  <c r="W29" i="10" s="1"/>
  <c r="AC29" i="10" s="1"/>
  <c r="AB29" i="10"/>
  <c r="AB6" i="10"/>
  <c r="W6" i="10" a="1"/>
  <c r="W6" i="10" s="1"/>
  <c r="AC6" i="10" s="1"/>
  <c r="AB3" i="10"/>
  <c r="W3" i="10" a="1"/>
  <c r="W3" i="10" s="1"/>
  <c r="AC3" i="10" s="1"/>
  <c r="AB16" i="10"/>
  <c r="W16" i="10" a="1"/>
  <c r="W16" i="10" s="1"/>
  <c r="AC16" i="10" s="1"/>
  <c r="AB40" i="10"/>
  <c r="W40" i="10" a="1"/>
  <c r="W40" i="10" s="1"/>
  <c r="AC40" i="10" s="1"/>
  <c r="W17" i="10" a="1"/>
  <c r="W17" i="10" s="1"/>
  <c r="AC17" i="10" s="1"/>
  <c r="AB17" i="10"/>
  <c r="AB36" i="10"/>
  <c r="W36" i="10" a="1"/>
  <c r="W36" i="10" s="1"/>
  <c r="AC36" i="10" s="1"/>
  <c r="W32" i="10" a="1"/>
  <c r="W32" i="10" s="1"/>
  <c r="AC32" i="10" s="1"/>
  <c r="AB32" i="10"/>
  <c r="X10" i="11" a="1"/>
  <c r="X10" i="11" s="1"/>
  <c r="X10" i="10" a="1"/>
  <c r="X10" i="10" s="1"/>
  <c r="AD10" i="10" s="1"/>
  <c r="X39" i="11" a="1"/>
  <c r="X39" i="11" s="1"/>
  <c r="X39" i="10" a="1"/>
  <c r="X39" i="10" s="1"/>
  <c r="AD39" i="10" s="1"/>
  <c r="X6" i="11" a="1"/>
  <c r="X6" i="11" s="1"/>
  <c r="X6" i="10" a="1"/>
  <c r="X6" i="10" s="1"/>
  <c r="AD6" i="10" s="1"/>
  <c r="X35" i="10" a="1"/>
  <c r="X35" i="10" s="1"/>
  <c r="AD35" i="10" s="1"/>
  <c r="X35" i="11" a="1"/>
  <c r="X35" i="11" s="1"/>
  <c r="W11" i="11" a="1"/>
  <c r="W11" i="11" s="1"/>
  <c r="W16" i="11" a="1"/>
  <c r="W16" i="11" s="1"/>
  <c r="W12" i="11" a="1"/>
  <c r="W12" i="11" s="1"/>
  <c r="W46" i="11" a="1"/>
  <c r="W46" i="11" s="1"/>
  <c r="X24" i="10" a="1"/>
  <c r="X24" i="10" s="1"/>
  <c r="AD24" i="10" s="1"/>
  <c r="X24" i="11" a="1"/>
  <c r="X24" i="11" s="1"/>
  <c r="X47" i="10" a="1"/>
  <c r="X47" i="10" s="1"/>
  <c r="AD47" i="10" s="1"/>
  <c r="X47" i="11" a="1"/>
  <c r="X47" i="11" s="1"/>
  <c r="X19" i="11" a="1"/>
  <c r="X19" i="11" s="1"/>
  <c r="X19" i="10" a="1"/>
  <c r="X19" i="10" s="1"/>
  <c r="AD19" i="10" s="1"/>
  <c r="X38" i="10" a="1"/>
  <c r="X38" i="10" s="1"/>
  <c r="AD38" i="10" s="1"/>
  <c r="X38" i="11" a="1"/>
  <c r="X38" i="11" s="1"/>
  <c r="W23" i="11" a="1"/>
  <c r="W23" i="11" s="1"/>
  <c r="W42" i="11" a="1"/>
  <c r="W42" i="11" s="1"/>
  <c r="W15" i="11" a="1"/>
  <c r="W15" i="11" s="1"/>
  <c r="W41" i="11" a="1"/>
  <c r="W41" i="11" s="1"/>
  <c r="X45" i="11" a="1"/>
  <c r="X45" i="11" s="1"/>
  <c r="X45" i="10" a="1"/>
  <c r="X45" i="10" s="1"/>
  <c r="AD45" i="10" s="1"/>
  <c r="X48" i="10" a="1"/>
  <c r="X48" i="10" s="1"/>
  <c r="AD48" i="10" s="1"/>
  <c r="X48" i="11" a="1"/>
  <c r="X48" i="11" s="1"/>
  <c r="X50" i="10" a="1"/>
  <c r="X50" i="10" s="1"/>
  <c r="AD50" i="10" s="1"/>
  <c r="X50" i="11" a="1"/>
  <c r="X50" i="11" s="1"/>
  <c r="X44" i="10" a="1"/>
  <c r="X44" i="10" s="1"/>
  <c r="AD44" i="10" s="1"/>
  <c r="X44" i="11" a="1"/>
  <c r="X44" i="11" s="1"/>
  <c r="X22" i="11" a="1"/>
  <c r="X22" i="11" s="1"/>
  <c r="X22" i="10" a="1"/>
  <c r="X22" i="10" s="1"/>
  <c r="AD22" i="10" s="1"/>
  <c r="W40" i="11" a="1"/>
  <c r="W40" i="11" s="1"/>
  <c r="W4" i="11" a="1"/>
  <c r="W4" i="11" s="1"/>
  <c r="W18" i="11" a="1"/>
  <c r="W18" i="11" s="1"/>
  <c r="W9" i="11" a="1"/>
  <c r="W9" i="11" s="1"/>
  <c r="X37" i="10" a="1"/>
  <c r="X37" i="10" s="1"/>
  <c r="AD37" i="10" s="1"/>
  <c r="X37" i="11" a="1"/>
  <c r="X37" i="11" s="1"/>
  <c r="X13" i="10" a="1"/>
  <c r="X13" i="10" s="1"/>
  <c r="AD13" i="10" s="1"/>
  <c r="X13" i="11" a="1"/>
  <c r="X13" i="11" s="1"/>
  <c r="X52" i="11" a="1"/>
  <c r="X52" i="11" s="1"/>
  <c r="X52" i="10" a="1"/>
  <c r="X52" i="10" s="1"/>
  <c r="AD52" i="10" s="1"/>
  <c r="X3" i="11" a="1"/>
  <c r="X3" i="11" s="1"/>
  <c r="X3" i="10" a="1"/>
  <c r="X3" i="10" s="1"/>
  <c r="AD3" i="10" s="1"/>
  <c r="X51" i="11" a="1"/>
  <c r="X51" i="11" s="1"/>
  <c r="X51" i="10" a="1"/>
  <c r="X51" i="10" s="1"/>
  <c r="AD51" i="10" s="1"/>
  <c r="W5" i="11" a="1"/>
  <c r="W5" i="11" s="1"/>
  <c r="W27" i="11" a="1"/>
  <c r="W27" i="11" s="1"/>
  <c r="W10" i="11" a="1"/>
  <c r="W10" i="11" s="1"/>
  <c r="X8" i="11" a="1"/>
  <c r="X8" i="11" s="1"/>
  <c r="X8" i="10" a="1"/>
  <c r="X8" i="10" s="1"/>
  <c r="AD8" i="10" s="1"/>
  <c r="X16" i="11" a="1"/>
  <c r="X16" i="11" s="1"/>
  <c r="X16" i="10" a="1"/>
  <c r="X16" i="10" s="1"/>
  <c r="AD16" i="10" s="1"/>
  <c r="X54" i="11" a="1"/>
  <c r="X54" i="11" s="1"/>
  <c r="X54" i="10" a="1"/>
  <c r="X54" i="10" s="1"/>
  <c r="AD54" i="10" s="1"/>
  <c r="X20" i="11" a="1"/>
  <c r="X20" i="11" s="1"/>
  <c r="X20" i="10" a="1"/>
  <c r="X20" i="10" s="1"/>
  <c r="AD20" i="10" s="1"/>
  <c r="X53" i="11" a="1"/>
  <c r="X53" i="11" s="1"/>
  <c r="X53" i="10" a="1"/>
  <c r="X53" i="10" s="1"/>
  <c r="AD53" i="10" s="1"/>
  <c r="W28" i="11" a="1"/>
  <c r="W28" i="11" s="1"/>
  <c r="W7" i="11" a="1"/>
  <c r="W7" i="11" s="1"/>
  <c r="W30" i="11" a="1"/>
  <c r="W30" i="11" s="1"/>
  <c r="W26" i="11" a="1"/>
  <c r="W26" i="11" s="1"/>
  <c r="X25" i="10" a="1"/>
  <c r="X25" i="10" s="1"/>
  <c r="AD25" i="10" s="1"/>
  <c r="X25" i="11" a="1"/>
  <c r="X25" i="11" s="1"/>
  <c r="X42" i="11" a="1"/>
  <c r="X42" i="11" s="1"/>
  <c r="X42" i="10" a="1"/>
  <c r="X42" i="10" s="1"/>
  <c r="AD42" i="10" s="1"/>
  <c r="X12" i="10" a="1"/>
  <c r="X12" i="10" s="1"/>
  <c r="AD12" i="10" s="1"/>
  <c r="X12" i="11" a="1"/>
  <c r="X12" i="11" s="1"/>
  <c r="X46" i="11" a="1"/>
  <c r="X46" i="11" s="1"/>
  <c r="X46" i="10" a="1"/>
  <c r="X46" i="10" s="1"/>
  <c r="AD46" i="10" s="1"/>
  <c r="X43" i="11" a="1"/>
  <c r="X43" i="11" s="1"/>
  <c r="X43" i="10" a="1"/>
  <c r="X43" i="10" s="1"/>
  <c r="AD43" i="10" s="1"/>
  <c r="W31" i="11" a="1"/>
  <c r="W31" i="11" s="1"/>
  <c r="W14" i="11" a="1"/>
  <c r="W14" i="11" s="1"/>
  <c r="W33" i="11" a="1"/>
  <c r="W33" i="11" s="1"/>
  <c r="W29" i="11" a="1"/>
  <c r="W29" i="11" s="1"/>
  <c r="X31" i="11" a="1"/>
  <c r="X31" i="11" s="1"/>
  <c r="X31" i="10" a="1"/>
  <c r="X31" i="10" s="1"/>
  <c r="AD31" i="10" s="1"/>
  <c r="X4" i="11" a="1"/>
  <c r="X4" i="11" s="1"/>
  <c r="X4" i="10" a="1"/>
  <c r="X4" i="10" s="1"/>
  <c r="AD4" i="10" s="1"/>
  <c r="X15" i="11" a="1"/>
  <c r="X15" i="11" s="1"/>
  <c r="X15" i="10" a="1"/>
  <c r="X15" i="10" s="1"/>
  <c r="AD15" i="10" s="1"/>
  <c r="X11" i="10" a="1"/>
  <c r="X11" i="10" s="1"/>
  <c r="AD11" i="10" s="1"/>
  <c r="X11" i="11" a="1"/>
  <c r="X11" i="11" s="1"/>
  <c r="X49" i="10" a="1"/>
  <c r="X49" i="10" s="1"/>
  <c r="AD49" i="10" s="1"/>
  <c r="X49" i="11" a="1"/>
  <c r="X49" i="11" s="1"/>
  <c r="W34" i="11" a="1"/>
  <c r="W34" i="11" s="1"/>
  <c r="W17" i="11" a="1"/>
  <c r="W17" i="11" s="1"/>
  <c r="W36" i="11" a="1"/>
  <c r="W36" i="11" s="1"/>
  <c r="W32" i="11" a="1"/>
  <c r="W32" i="11" s="1"/>
  <c r="X34" i="11" a="1"/>
  <c r="X34" i="11" s="1"/>
  <c r="X34" i="10" a="1"/>
  <c r="X34" i="10" s="1"/>
  <c r="AD34" i="10" s="1"/>
  <c r="X5" i="10" a="1"/>
  <c r="X5" i="10" s="1"/>
  <c r="AD5" i="10" s="1"/>
  <c r="X5" i="11" a="1"/>
  <c r="X5" i="11" s="1"/>
  <c r="X18" i="11" a="1"/>
  <c r="X18" i="11" s="1"/>
  <c r="X18" i="10" a="1"/>
  <c r="X18" i="10" s="1"/>
  <c r="AD18" i="10" s="1"/>
  <c r="X21" i="11" a="1"/>
  <c r="X21" i="11" s="1"/>
  <c r="X21" i="10" a="1"/>
  <c r="X21" i="10" s="1"/>
  <c r="AD21" i="10" s="1"/>
  <c r="W43" i="11" a="1"/>
  <c r="W43" i="11" s="1"/>
  <c r="W37" i="11" a="1"/>
  <c r="W37" i="11" s="1"/>
  <c r="W39" i="11" a="1"/>
  <c r="W39" i="11" s="1"/>
  <c r="W3" i="11" a="1"/>
  <c r="W3" i="11" s="1"/>
  <c r="W35" i="11" a="1"/>
  <c r="W35" i="11" s="1"/>
  <c r="X9" i="11" a="1"/>
  <c r="X9" i="11" s="1"/>
  <c r="X9" i="10" a="1"/>
  <c r="X9" i="10" s="1"/>
  <c r="AD9" i="10" s="1"/>
  <c r="X27" i="11" a="1"/>
  <c r="X27" i="11" s="1"/>
  <c r="X27" i="10" a="1"/>
  <c r="X27" i="10" s="1"/>
  <c r="AD27" i="10" s="1"/>
  <c r="X41" i="11" a="1"/>
  <c r="X41" i="11" s="1"/>
  <c r="X41" i="10" a="1"/>
  <c r="X41" i="10" s="1"/>
  <c r="AD41" i="10" s="1"/>
  <c r="W49" i="11" a="1"/>
  <c r="W49" i="11" s="1"/>
  <c r="W45" i="11" a="1"/>
  <c r="W45" i="11" s="1"/>
  <c r="W47" i="11" a="1"/>
  <c r="W47" i="11" s="1"/>
  <c r="W6" i="11" a="1"/>
  <c r="W6" i="11" s="1"/>
  <c r="W38" i="11" a="1"/>
  <c r="W38" i="11" s="1"/>
  <c r="X23" i="10" a="1"/>
  <c r="X23" i="10" s="1"/>
  <c r="AD23" i="10" s="1"/>
  <c r="X23" i="11" a="1"/>
  <c r="X23" i="11" s="1"/>
  <c r="X7" i="11" a="1"/>
  <c r="X7" i="11" s="1"/>
  <c r="X7" i="10" a="1"/>
  <c r="X7" i="10" s="1"/>
  <c r="AD7" i="10" s="1"/>
  <c r="X30" i="11" a="1"/>
  <c r="X30" i="11" s="1"/>
  <c r="X30" i="10" a="1"/>
  <c r="X30" i="10" s="1"/>
  <c r="AD30" i="10" s="1"/>
  <c r="X26" i="10" a="1"/>
  <c r="X26" i="10" s="1"/>
  <c r="AD26" i="10" s="1"/>
  <c r="X26" i="11" a="1"/>
  <c r="X26" i="11" s="1"/>
  <c r="W8" i="11" a="1"/>
  <c r="W8" i="11" s="1"/>
  <c r="W24" i="11" a="1"/>
  <c r="W24" i="11" s="1"/>
  <c r="W50" i="11" a="1"/>
  <c r="W50" i="11" s="1"/>
  <c r="W19" i="11" a="1"/>
  <c r="W19" i="11" s="1"/>
  <c r="M22" i="10"/>
  <c r="U22" i="10"/>
  <c r="AA22" i="10" s="1"/>
  <c r="X28" i="11" a="1"/>
  <c r="X28" i="11" s="1"/>
  <c r="X28" i="10" a="1"/>
  <c r="X28" i="10" s="1"/>
  <c r="AD28" i="10" s="1"/>
  <c r="X14" i="10" a="1"/>
  <c r="X14" i="10" s="1"/>
  <c r="AD14" i="10" s="1"/>
  <c r="X14" i="11" a="1"/>
  <c r="X14" i="11" s="1"/>
  <c r="X33" i="11" a="1"/>
  <c r="X33" i="11" s="1"/>
  <c r="X33" i="10" a="1"/>
  <c r="X33" i="10" s="1"/>
  <c r="AD33" i="10" s="1"/>
  <c r="X29" i="11" a="1"/>
  <c r="X29" i="11" s="1"/>
  <c r="X29" i="10" a="1"/>
  <c r="X29" i="10" s="1"/>
  <c r="AD29" i="10" s="1"/>
  <c r="M21" i="10"/>
  <c r="U21" i="10"/>
  <c r="AA21" i="10" s="1"/>
  <c r="W48" i="11" a="1"/>
  <c r="W48" i="11" s="1"/>
  <c r="W52" i="11" a="1"/>
  <c r="W52" i="11" s="1"/>
  <c r="W44" i="11" a="1"/>
  <c r="W44" i="11" s="1"/>
  <c r="W51" i="11" a="1"/>
  <c r="W51" i="11" s="1"/>
  <c r="X40" i="11" a="1"/>
  <c r="X40" i="11" s="1"/>
  <c r="X40" i="10" a="1"/>
  <c r="X40" i="10" s="1"/>
  <c r="AD40" i="10" s="1"/>
  <c r="X17" i="11" a="1"/>
  <c r="X17" i="11" s="1"/>
  <c r="X17" i="10" a="1"/>
  <c r="X17" i="10" s="1"/>
  <c r="AD17" i="10" s="1"/>
  <c r="X36" i="10" a="1"/>
  <c r="X36" i="10" s="1"/>
  <c r="AD36" i="10" s="1"/>
  <c r="X36" i="11" a="1"/>
  <c r="X36" i="11" s="1"/>
  <c r="X32" i="11" a="1"/>
  <c r="X32" i="11" s="1"/>
  <c r="X32" i="10" a="1"/>
  <c r="X32" i="10" s="1"/>
  <c r="AD32" i="10" s="1"/>
  <c r="W25" i="11" a="1"/>
  <c r="W25" i="11" s="1"/>
  <c r="W13" i="11" a="1"/>
  <c r="W13" i="11" s="1"/>
  <c r="W54" i="11" a="1"/>
  <c r="W54" i="11" s="1"/>
  <c r="M20" i="10"/>
  <c r="U20" i="10"/>
  <c r="AA20" i="10" s="1"/>
  <c r="AH10" i="10" s="1"/>
  <c r="W53" i="11" a="1"/>
  <c r="W53" i="11" s="1"/>
  <c r="E49" i="10"/>
  <c r="E54" i="10"/>
  <c r="E52" i="10"/>
  <c r="E56" i="10"/>
  <c r="E63" i="10"/>
  <c r="E47" i="10"/>
  <c r="E66" i="10"/>
  <c r="E57" i="10"/>
  <c r="E48" i="10"/>
  <c r="E53" i="10"/>
  <c r="E55" i="10"/>
  <c r="E64" i="10"/>
  <c r="E51" i="10"/>
  <c r="E65" i="10"/>
  <c r="F49" i="10"/>
  <c r="F53" i="10"/>
  <c r="F51" i="10"/>
  <c r="F48" i="10"/>
  <c r="F70" i="10"/>
  <c r="F58" i="10"/>
  <c r="F65" i="10"/>
  <c r="F71" i="10"/>
  <c r="F87" i="10"/>
  <c r="F81" i="10"/>
  <c r="F78" i="10"/>
  <c r="F63" i="10"/>
  <c r="F66" i="10"/>
  <c r="F88" i="10"/>
  <c r="F52" i="10"/>
  <c r="F73" i="10"/>
  <c r="F64" i="10"/>
  <c r="F76" i="10"/>
  <c r="F59" i="10"/>
  <c r="F79" i="10"/>
  <c r="F77" i="10"/>
  <c r="F56" i="10"/>
  <c r="F84" i="10"/>
  <c r="F82" i="10"/>
  <c r="F62" i="10"/>
  <c r="F67" i="10"/>
  <c r="F85" i="10"/>
  <c r="F47" i="10"/>
  <c r="F68" i="10"/>
  <c r="F60" i="10"/>
  <c r="F72" i="10"/>
  <c r="F57" i="10"/>
  <c r="F50" i="10"/>
  <c r="F75" i="10"/>
  <c r="F69" i="10"/>
  <c r="F83" i="10"/>
  <c r="F80" i="10"/>
  <c r="F74" i="10"/>
  <c r="F54" i="10"/>
  <c r="F55" i="10"/>
  <c r="F86" i="10"/>
  <c r="F61" i="10"/>
  <c r="E75" i="10" l="1"/>
  <c r="BI10" i="10"/>
  <c r="BS10" i="10"/>
  <c r="BP10" i="10"/>
  <c r="CW10" i="10"/>
  <c r="BW10" i="10"/>
  <c r="BG10" i="10"/>
  <c r="BD10" i="10"/>
  <c r="CK10" i="10"/>
  <c r="BK10" i="10"/>
  <c r="CP10" i="10"/>
  <c r="AY10" i="10"/>
  <c r="BY10" i="10"/>
  <c r="CT10" i="10"/>
  <c r="AG10" i="10"/>
  <c r="CD10" i="10"/>
  <c r="CM10" i="10"/>
  <c r="BM10" i="10"/>
  <c r="CH10" i="10"/>
  <c r="BR10" i="10"/>
  <c r="CA10" i="10"/>
  <c r="BA10" i="10"/>
  <c r="BV10" i="10"/>
  <c r="BB10" i="10"/>
  <c r="CR10" i="10"/>
  <c r="BF10" i="10"/>
  <c r="BO10" i="10"/>
  <c r="CV10" i="10"/>
  <c r="BJ10" i="10"/>
  <c r="CE10" i="10"/>
  <c r="CF10" i="10"/>
  <c r="CO10" i="10"/>
  <c r="BC10" i="10"/>
  <c r="CJ10" i="10"/>
  <c r="CS10" i="10"/>
  <c r="BT10" i="10"/>
  <c r="CC10" i="10"/>
  <c r="CX10" i="10"/>
  <c r="BX10" i="10"/>
  <c r="CG10" i="10"/>
  <c r="BH10" i="10"/>
  <c r="BQ10" i="10"/>
  <c r="CL10" i="10"/>
  <c r="BL10" i="10"/>
  <c r="BU10" i="10"/>
  <c r="BE10" i="10"/>
  <c r="BZ10" i="10"/>
  <c r="AZ10" i="10"/>
  <c r="CB10" i="10"/>
  <c r="CI10" i="10"/>
  <c r="CQ10" i="10"/>
  <c r="CN10" i="10"/>
  <c r="BN10" i="10"/>
  <c r="CU10" i="10"/>
  <c r="AF4" i="10"/>
  <c r="AF3" i="10"/>
  <c r="AH15" i="10"/>
  <c r="AH19" i="10"/>
  <c r="AH14" i="10"/>
  <c r="E83" i="10"/>
  <c r="AH18" i="10"/>
  <c r="AH17" i="10" s="1"/>
  <c r="B48" i="10"/>
  <c r="E62" i="10"/>
  <c r="E78" i="10"/>
  <c r="E67" i="10"/>
  <c r="E86" i="10"/>
  <c r="E77" i="10"/>
  <c r="E60" i="10"/>
  <c r="E59" i="10"/>
  <c r="E61" i="10"/>
  <c r="E71" i="10"/>
  <c r="E58" i="10"/>
  <c r="E69" i="10"/>
  <c r="E81" i="10"/>
  <c r="E82" i="10"/>
  <c r="E79" i="10"/>
  <c r="E74" i="10"/>
  <c r="E87" i="10"/>
  <c r="E70" i="10"/>
  <c r="E88" i="10"/>
  <c r="E73" i="10"/>
  <c r="E84" i="10"/>
  <c r="E80" i="10"/>
  <c r="W22" i="11" a="1"/>
  <c r="W22" i="11" s="1"/>
  <c r="W20" i="11" a="1"/>
  <c r="W20" i="11" s="1"/>
  <c r="W21" i="11" a="1"/>
  <c r="W21" i="11" s="1"/>
  <c r="AB55" i="10"/>
  <c r="E85" i="10"/>
  <c r="E72" i="10"/>
  <c r="E68" i="10"/>
  <c r="E50" i="10"/>
  <c r="E76" i="10"/>
  <c r="AH9" i="10"/>
  <c r="CI14" i="10" l="1"/>
  <c r="CG14" i="10"/>
  <c r="BH14" i="10"/>
  <c r="BO14" i="10"/>
  <c r="CB14" i="10"/>
  <c r="AG14" i="10"/>
  <c r="BJ14" i="10"/>
  <c r="BT14" i="10"/>
  <c r="CA14" i="10"/>
  <c r="CN14" i="10"/>
  <c r="CF14" i="10"/>
  <c r="BB14" i="10"/>
  <c r="CM14" i="10"/>
  <c r="AH13" i="10"/>
  <c r="BW14" i="10"/>
  <c r="CU14" i="10"/>
  <c r="CR14" i="10"/>
  <c r="BN14" i="10"/>
  <c r="AY14" i="10"/>
  <c r="BK14" i="10"/>
  <c r="CH14" i="10"/>
  <c r="BF14" i="10"/>
  <c r="BX14" i="10"/>
  <c r="BZ14" i="10"/>
  <c r="BC14" i="10"/>
  <c r="BR14" i="10"/>
  <c r="BA14" i="10"/>
  <c r="CL14" i="10"/>
  <c r="CC14" i="10"/>
  <c r="CD14" i="10"/>
  <c r="BM14" i="10"/>
  <c r="CX14" i="10"/>
  <c r="BP14" i="10"/>
  <c r="BV14" i="10"/>
  <c r="CP14" i="10"/>
  <c r="BY14" i="10"/>
  <c r="BL14" i="10"/>
  <c r="CT14" i="10"/>
  <c r="BU14" i="10"/>
  <c r="CS14" i="10"/>
  <c r="BG14" i="10"/>
  <c r="CK14" i="10"/>
  <c r="AZ14" i="10"/>
  <c r="CV14" i="10"/>
  <c r="BS14" i="10"/>
  <c r="CW14" i="10"/>
  <c r="CJ14" i="10"/>
  <c r="BE14" i="10"/>
  <c r="CQ14" i="10"/>
  <c r="CO14" i="10"/>
  <c r="BI14" i="10"/>
  <c r="CE14" i="10"/>
  <c r="BD14" i="10"/>
  <c r="BQ14" i="10"/>
  <c r="BQ15" i="10"/>
  <c r="CQ15" i="10"/>
  <c r="CH15" i="10"/>
  <c r="BB15" i="10"/>
  <c r="BE15" i="10"/>
  <c r="CB15" i="10"/>
  <c r="CN15" i="10"/>
  <c r="CT15" i="10"/>
  <c r="BN15" i="10"/>
  <c r="BG15" i="10"/>
  <c r="BS15" i="10"/>
  <c r="CE15" i="10"/>
  <c r="BF15" i="10"/>
  <c r="BA15" i="10"/>
  <c r="BZ15" i="10"/>
  <c r="BV15" i="10"/>
  <c r="BD15" i="10"/>
  <c r="CR15" i="10"/>
  <c r="AZ15" i="10"/>
  <c r="BM15" i="10"/>
  <c r="CL15" i="10"/>
  <c r="CC15" i="10"/>
  <c r="BL15" i="10"/>
  <c r="BY15" i="10"/>
  <c r="BI15" i="10"/>
  <c r="BT15" i="10"/>
  <c r="CD15" i="10"/>
  <c r="BX15" i="10"/>
  <c r="CK15" i="10"/>
  <c r="BR15" i="10"/>
  <c r="BO15" i="10"/>
  <c r="CG15" i="10"/>
  <c r="CO15" i="10"/>
  <c r="CJ15" i="10"/>
  <c r="CW15" i="10"/>
  <c r="BC15" i="10"/>
  <c r="BH15" i="10"/>
  <c r="BK15" i="10"/>
  <c r="CV15" i="10"/>
  <c r="AY15" i="10"/>
  <c r="BW15" i="10"/>
  <c r="BU15" i="10"/>
  <c r="CX15" i="10"/>
  <c r="CM15" i="10"/>
  <c r="BP15" i="10"/>
  <c r="CA15" i="10"/>
  <c r="CP15" i="10"/>
  <c r="CI15" i="10"/>
  <c r="CF15" i="10"/>
  <c r="CS15" i="10"/>
  <c r="BJ15" i="10"/>
  <c r="CU15" i="10"/>
  <c r="D58" i="12"/>
  <c r="AD55" i="11"/>
  <c r="AD58" i="11"/>
  <c r="AB56" i="11"/>
  <c r="AB58" i="11"/>
  <c r="AA57" i="10"/>
  <c r="AB57" i="11"/>
  <c r="D56" i="12"/>
  <c r="AA56" i="10"/>
  <c r="C55" i="12"/>
  <c r="AA58" i="10"/>
  <c r="C57" i="12"/>
  <c r="AA55" i="10"/>
  <c r="C56" i="12"/>
  <c r="D55" i="12"/>
  <c r="AB55" i="11"/>
  <c r="AB58" i="10"/>
  <c r="AB57" i="10"/>
  <c r="AB56" i="10"/>
  <c r="AD56" i="11"/>
  <c r="C58" i="12"/>
  <c r="AD57" i="11"/>
  <c r="D57" i="12"/>
  <c r="AH8" i="10"/>
  <c r="AY9" i="10"/>
  <c r="AZ9" i="10"/>
  <c r="BL9" i="10"/>
  <c r="BX9" i="10"/>
  <c r="CJ9" i="10"/>
  <c r="CV9" i="10"/>
  <c r="BA9" i="10"/>
  <c r="BM9" i="10"/>
  <c r="BY9" i="10"/>
  <c r="CK9" i="10"/>
  <c r="CW9" i="10"/>
  <c r="CU9" i="10"/>
  <c r="BB9" i="10"/>
  <c r="BN9" i="10"/>
  <c r="BZ9" i="10"/>
  <c r="CL9" i="10"/>
  <c r="CX9" i="10"/>
  <c r="BW9" i="10"/>
  <c r="BC9" i="10"/>
  <c r="BO9" i="10"/>
  <c r="CA9" i="10"/>
  <c r="CM9" i="10"/>
  <c r="BD9" i="10"/>
  <c r="BP9" i="10"/>
  <c r="CB9" i="10"/>
  <c r="CN9" i="10"/>
  <c r="CI9" i="10"/>
  <c r="BE9" i="10"/>
  <c r="BQ9" i="10"/>
  <c r="CC9" i="10"/>
  <c r="CO9" i="10"/>
  <c r="BK9" i="10"/>
  <c r="BF9" i="10"/>
  <c r="BR9" i="10"/>
  <c r="CD9" i="10"/>
  <c r="CP9" i="10"/>
  <c r="BG9" i="10"/>
  <c r="BS9" i="10"/>
  <c r="CE9" i="10"/>
  <c r="CQ9" i="10"/>
  <c r="BH9" i="10"/>
  <c r="BT9" i="10"/>
  <c r="CF9" i="10"/>
  <c r="CR9" i="10"/>
  <c r="BI9" i="10"/>
  <c r="BU9" i="10"/>
  <c r="CG9" i="10"/>
  <c r="CS9" i="10"/>
  <c r="BJ9" i="10"/>
  <c r="BV9" i="10"/>
  <c r="CH9" i="10"/>
  <c r="CT9" i="10"/>
  <c r="AG18" i="10"/>
  <c r="AG9" i="10"/>
  <c r="AQ10" i="10" s="1"/>
  <c r="AW9" i="10"/>
  <c r="AV10" i="10" s="1"/>
  <c r="AV14" i="10" s="1"/>
  <c r="AW14" i="10" s="1"/>
  <c r="AW18" i="10" l="1"/>
  <c r="AV19" i="10" s="1"/>
  <c r="AG19" i="10"/>
  <c r="AV15" i="10"/>
  <c r="AG15" i="10"/>
  <c r="K50" i="8" l="1"/>
  <c r="H16" i="8"/>
  <c r="H12" i="8"/>
  <c r="H8" i="8"/>
  <c r="H4" i="8"/>
  <c r="H3" i="8"/>
  <c r="H2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3" i="8"/>
  <c r="T3" i="7" l="1"/>
  <c r="T4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T38" i="7"/>
  <c r="T39" i="7"/>
  <c r="T40" i="7"/>
  <c r="T41" i="7"/>
  <c r="T42" i="7"/>
  <c r="T43" i="7"/>
  <c r="T44" i="7"/>
  <c r="T45" i="7"/>
  <c r="T46" i="7"/>
  <c r="T47" i="7"/>
  <c r="T48" i="7"/>
  <c r="T49" i="7"/>
  <c r="T50" i="7"/>
  <c r="T51" i="7"/>
  <c r="T52" i="7"/>
  <c r="T53" i="7"/>
  <c r="T54" i="7"/>
  <c r="J49" i="7"/>
  <c r="J50" i="7"/>
  <c r="J51" i="7"/>
  <c r="J52" i="7"/>
  <c r="J53" i="7"/>
  <c r="J54" i="7"/>
  <c r="F25" i="7"/>
  <c r="F26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B25" i="7"/>
  <c r="B26" i="7"/>
  <c r="B28" i="7"/>
  <c r="B29" i="7"/>
  <c r="B30" i="7"/>
  <c r="B31" i="7"/>
  <c r="B32" i="7"/>
  <c r="B33" i="7"/>
  <c r="B34" i="7"/>
  <c r="B35" i="7"/>
  <c r="B36" i="7"/>
  <c r="B37" i="7"/>
  <c r="B38" i="7"/>
  <c r="B39" i="7"/>
  <c r="F23" i="7"/>
  <c r="F24" i="7"/>
  <c r="B22" i="7"/>
  <c r="B23" i="7"/>
  <c r="B24" i="7"/>
  <c r="G49" i="7"/>
  <c r="D49" i="7"/>
  <c r="B54" i="7"/>
  <c r="F53" i="7"/>
  <c r="F54" i="7"/>
  <c r="J48" i="7"/>
  <c r="P54" i="7"/>
  <c r="P53" i="7"/>
  <c r="P52" i="7"/>
  <c r="P51" i="7"/>
  <c r="P50" i="7"/>
  <c r="P49" i="7"/>
  <c r="P48" i="7"/>
  <c r="P47" i="7"/>
  <c r="J47" i="7"/>
  <c r="B53" i="7"/>
  <c r="P46" i="7"/>
  <c r="J46" i="7"/>
  <c r="B52" i="7"/>
  <c r="P45" i="7"/>
  <c r="J45" i="7"/>
  <c r="F52" i="7"/>
  <c r="B51" i="7"/>
  <c r="P44" i="7"/>
  <c r="J44" i="7"/>
  <c r="F51" i="7"/>
  <c r="B50" i="7"/>
  <c r="P43" i="7"/>
  <c r="J43" i="7"/>
  <c r="F50" i="7"/>
  <c r="B49" i="7"/>
  <c r="P42" i="7"/>
  <c r="J42" i="7"/>
  <c r="F49" i="7"/>
  <c r="B48" i="7"/>
  <c r="P41" i="7"/>
  <c r="J41" i="7"/>
  <c r="F48" i="7"/>
  <c r="B47" i="7"/>
  <c r="P40" i="7"/>
  <c r="J40" i="7"/>
  <c r="F45" i="7"/>
  <c r="B44" i="7"/>
  <c r="P39" i="7"/>
  <c r="J39" i="7"/>
  <c r="F44" i="7"/>
  <c r="B43" i="7"/>
  <c r="P38" i="7"/>
  <c r="J38" i="7"/>
  <c r="F43" i="7"/>
  <c r="B27" i="7"/>
  <c r="P37" i="7"/>
  <c r="J37" i="7"/>
  <c r="F42" i="7"/>
  <c r="B41" i="7"/>
  <c r="P36" i="7"/>
  <c r="J36" i="7"/>
  <c r="F41" i="7"/>
  <c r="B40" i="7"/>
  <c r="P35" i="7"/>
  <c r="J35" i="7"/>
  <c r="P34" i="7"/>
  <c r="J34" i="7"/>
  <c r="P33" i="7"/>
  <c r="J33" i="7"/>
  <c r="P32" i="7"/>
  <c r="J32" i="7"/>
  <c r="P31" i="7"/>
  <c r="J31" i="7"/>
  <c r="P30" i="7"/>
  <c r="J30" i="7"/>
  <c r="P29" i="7"/>
  <c r="J29" i="7"/>
  <c r="P28" i="7"/>
  <c r="J28" i="7"/>
  <c r="P27" i="7"/>
  <c r="J27" i="7"/>
  <c r="F27" i="7"/>
  <c r="B42" i="7"/>
  <c r="P26" i="7"/>
  <c r="J26" i="7"/>
  <c r="P25" i="7"/>
  <c r="J25" i="7"/>
  <c r="P24" i="7"/>
  <c r="J24" i="7"/>
  <c r="F21" i="7"/>
  <c r="B17" i="7"/>
  <c r="P23" i="7"/>
  <c r="J23" i="7"/>
  <c r="F20" i="7"/>
  <c r="B16" i="7"/>
  <c r="P22" i="7"/>
  <c r="J22" i="7"/>
  <c r="F19" i="7"/>
  <c r="B15" i="7"/>
  <c r="P21" i="7"/>
  <c r="J21" i="7"/>
  <c r="F22" i="7"/>
  <c r="P20" i="7"/>
  <c r="J20" i="7"/>
  <c r="F17" i="7"/>
  <c r="B20" i="7"/>
  <c r="P19" i="7"/>
  <c r="J19" i="7"/>
  <c r="F16" i="7"/>
  <c r="B19" i="7"/>
  <c r="P18" i="7"/>
  <c r="J18" i="7"/>
  <c r="F15" i="7"/>
  <c r="B18" i="7"/>
  <c r="P17" i="7"/>
  <c r="J17" i="7"/>
  <c r="F18" i="7"/>
  <c r="B21" i="7"/>
  <c r="P16" i="7"/>
  <c r="J16" i="7"/>
  <c r="F14" i="7"/>
  <c r="B14" i="7"/>
  <c r="P15" i="7"/>
  <c r="J15" i="7"/>
  <c r="F12" i="7"/>
  <c r="B12" i="7"/>
  <c r="P14" i="7"/>
  <c r="J14" i="7"/>
  <c r="F13" i="7"/>
  <c r="B13" i="7"/>
  <c r="P13" i="7"/>
  <c r="J13" i="7"/>
  <c r="F11" i="7"/>
  <c r="B11" i="7"/>
  <c r="P12" i="7"/>
  <c r="J12" i="7"/>
  <c r="F10" i="7"/>
  <c r="B10" i="7"/>
  <c r="P11" i="7"/>
  <c r="J11" i="7"/>
  <c r="F9" i="7"/>
  <c r="B9" i="7"/>
  <c r="P10" i="7"/>
  <c r="J10" i="7"/>
  <c r="F8" i="7"/>
  <c r="B8" i="7"/>
  <c r="P9" i="7"/>
  <c r="J9" i="7"/>
  <c r="F7" i="7"/>
  <c r="B7" i="7"/>
  <c r="P8" i="7"/>
  <c r="J8" i="7"/>
  <c r="F47" i="7"/>
  <c r="B46" i="7"/>
  <c r="P7" i="7"/>
  <c r="J7" i="7"/>
  <c r="F46" i="7"/>
  <c r="B45" i="7"/>
  <c r="P6" i="7"/>
  <c r="J6" i="7"/>
  <c r="F6" i="7"/>
  <c r="B6" i="7"/>
  <c r="P5" i="7"/>
  <c r="J5" i="7"/>
  <c r="F4" i="7"/>
  <c r="B4" i="7"/>
  <c r="P4" i="7"/>
  <c r="J4" i="7"/>
  <c r="F5" i="7"/>
  <c r="B5" i="7"/>
  <c r="P3" i="7"/>
  <c r="J3" i="7"/>
  <c r="F3" i="7"/>
  <c r="B3" i="7"/>
  <c r="K15" i="7" a="1"/>
  <c r="K14" i="7" a="1"/>
  <c r="K35" i="7" a="1"/>
  <c r="K49" i="7" a="1"/>
  <c r="K52" i="7" a="1"/>
  <c r="K27" i="7" a="1"/>
  <c r="K40" i="7" a="1"/>
  <c r="K26" i="7" a="1"/>
  <c r="K51" i="7" a="1"/>
  <c r="K25" i="7" a="1"/>
  <c r="K45" i="7" a="1"/>
  <c r="K37" i="7" a="1"/>
  <c r="K36" i="7" a="1"/>
  <c r="K38" i="7" a="1"/>
  <c r="K20" i="7" a="1"/>
  <c r="K29" i="7" a="1"/>
  <c r="K34" i="7" a="1"/>
  <c r="K30" i="7" a="1"/>
  <c r="K8" i="7" a="1"/>
  <c r="K28" i="7" a="1"/>
  <c r="K54" i="7" a="1"/>
  <c r="K19" i="7" a="1"/>
  <c r="K16" i="7" a="1"/>
  <c r="K46" i="7" a="1"/>
  <c r="K43" i="7" a="1"/>
  <c r="K7" i="7" a="1"/>
  <c r="K39" i="7" a="1"/>
  <c r="K9" i="7" a="1"/>
  <c r="K33" i="7" a="1"/>
  <c r="K48" i="7" a="1"/>
  <c r="K17" i="7" a="1"/>
  <c r="K31" i="7" a="1"/>
  <c r="K42" i="7" a="1"/>
  <c r="K6" i="7" a="1"/>
  <c r="K24" i="7" a="1"/>
  <c r="K3" i="7" a="1"/>
  <c r="K47" i="7" a="1"/>
  <c r="K10" i="7" a="1"/>
  <c r="K53" i="7" a="1"/>
  <c r="K50" i="7" a="1"/>
  <c r="K32" i="7" a="1"/>
  <c r="K4" i="7" a="1"/>
  <c r="K21" i="7" a="1"/>
  <c r="K44" i="7" a="1"/>
  <c r="K22" i="7" a="1"/>
  <c r="K5" i="7" a="1"/>
  <c r="K18" i="7" a="1"/>
  <c r="K41" i="7" a="1"/>
  <c r="K23" i="7" a="1"/>
  <c r="K12" i="7" a="1"/>
  <c r="K13" i="7" a="1"/>
  <c r="K11" i="7" a="1"/>
  <c r="K27" i="7" l="1"/>
  <c r="Q27" i="7" s="1"/>
  <c r="K20" i="7"/>
  <c r="K14" i="7"/>
  <c r="Q14" i="7" s="1"/>
  <c r="K8" i="7"/>
  <c r="Q8" i="7" s="1"/>
  <c r="K26" i="7"/>
  <c r="Q26" i="7" s="1"/>
  <c r="K9" i="7"/>
  <c r="Q9" i="7" s="1"/>
  <c r="K32" i="7"/>
  <c r="Q32" i="7" s="1"/>
  <c r="K49" i="7"/>
  <c r="Q49" i="7" s="1"/>
  <c r="K43" i="7"/>
  <c r="Q43" i="7" s="1"/>
  <c r="K37" i="7"/>
  <c r="Q37" i="7" s="1"/>
  <c r="K31" i="7"/>
  <c r="Q31" i="7" s="1"/>
  <c r="K25" i="7"/>
  <c r="Q25" i="7" s="1"/>
  <c r="K19" i="7"/>
  <c r="Q19" i="7" s="1"/>
  <c r="K13" i="7"/>
  <c r="K7" i="7"/>
  <c r="Q7" i="7" s="1"/>
  <c r="K38" i="7"/>
  <c r="Q38" i="7" s="1"/>
  <c r="K45" i="7"/>
  <c r="Q45" i="7" s="1"/>
  <c r="K21" i="7"/>
  <c r="Q21" i="7" s="1"/>
  <c r="K44" i="7"/>
  <c r="Q44" i="7" s="1"/>
  <c r="K54" i="7"/>
  <c r="Q54" i="7" s="1"/>
  <c r="K48" i="7"/>
  <c r="Q48" i="7" s="1"/>
  <c r="K42" i="7"/>
  <c r="Q42" i="7" s="1"/>
  <c r="K36" i="7"/>
  <c r="Q36" i="7" s="1"/>
  <c r="K30" i="7"/>
  <c r="Q30" i="7" s="1"/>
  <c r="K24" i="7"/>
  <c r="Q24" i="7" s="1"/>
  <c r="K18" i="7"/>
  <c r="K12" i="7"/>
  <c r="Q12" i="7" s="1"/>
  <c r="K6" i="7"/>
  <c r="Q6" i="7" s="1"/>
  <c r="K50" i="7"/>
  <c r="Q50" i="7" s="1"/>
  <c r="K51" i="7"/>
  <c r="Q51" i="7" s="1"/>
  <c r="K15" i="7"/>
  <c r="Q15" i="7" s="1"/>
  <c r="K53" i="7"/>
  <c r="Q53" i="7" s="1"/>
  <c r="K47" i="7"/>
  <c r="Q47" i="7" s="1"/>
  <c r="K41" i="7"/>
  <c r="K35" i="7"/>
  <c r="Q35" i="7" s="1"/>
  <c r="K29" i="7"/>
  <c r="Q29" i="7" s="1"/>
  <c r="K23" i="7"/>
  <c r="Q23" i="7" s="1"/>
  <c r="K17" i="7"/>
  <c r="Q17" i="7" s="1"/>
  <c r="K11" i="7"/>
  <c r="Q11" i="7" s="1"/>
  <c r="K5" i="7"/>
  <c r="Q5" i="7" s="1"/>
  <c r="K39" i="7"/>
  <c r="Q39" i="7" s="1"/>
  <c r="K33" i="7"/>
  <c r="Q33" i="7" s="1"/>
  <c r="K52" i="7"/>
  <c r="Q52" i="7" s="1"/>
  <c r="K46" i="7"/>
  <c r="Q46" i="7" s="1"/>
  <c r="K40" i="7"/>
  <c r="Q40" i="7" s="1"/>
  <c r="K34" i="7"/>
  <c r="Q34" i="7" s="1"/>
  <c r="K28" i="7"/>
  <c r="Q28" i="7" s="1"/>
  <c r="K22" i="7"/>
  <c r="Q22" i="7" s="1"/>
  <c r="K16" i="7"/>
  <c r="Q16" i="7" s="1"/>
  <c r="K10" i="7"/>
  <c r="Q10" i="7" s="1"/>
  <c r="K4" i="7"/>
  <c r="Q4" i="7" s="1"/>
  <c r="Q13" i="7"/>
  <c r="Q18" i="7"/>
  <c r="Q20" i="7"/>
  <c r="K3" i="7"/>
  <c r="Q3" i="7" s="1"/>
  <c r="Q41" i="7" l="1"/>
  <c r="M41" i="7" a="1"/>
  <c r="M41" i="7" s="1"/>
  <c r="S41" i="7" s="1"/>
  <c r="L39" i="7" a="1"/>
  <c r="L39" i="7" s="1"/>
  <c r="R39" i="7" s="1"/>
  <c r="M39" i="7" a="1"/>
  <c r="M39" i="7" s="1"/>
  <c r="S39" i="7" s="1"/>
  <c r="L41" i="7" a="1"/>
  <c r="L41" i="7" s="1"/>
  <c r="R41" i="7" s="1"/>
  <c r="M24" i="7" a="1"/>
  <c r="M24" i="7" s="1"/>
  <c r="S24" i="7" s="1"/>
  <c r="L24" i="7" a="1"/>
  <c r="L24" i="7" s="1"/>
  <c r="R24" i="7" s="1"/>
  <c r="M4" i="7" a="1"/>
  <c r="M4" i="7" s="1"/>
  <c r="S4" i="7" s="1"/>
  <c r="L4" i="7" a="1"/>
  <c r="L4" i="7" s="1"/>
  <c r="R4" i="7" s="1"/>
  <c r="M29" i="7" a="1"/>
  <c r="M29" i="7" s="1"/>
  <c r="S29" i="7" s="1"/>
  <c r="L29" i="7" a="1"/>
  <c r="L29" i="7" s="1"/>
  <c r="R29" i="7" s="1"/>
  <c r="M30" i="7" a="1"/>
  <c r="M30" i="7" s="1"/>
  <c r="S30" i="7" s="1"/>
  <c r="L30" i="7" a="1"/>
  <c r="L30" i="7" s="1"/>
  <c r="R30" i="7" s="1"/>
  <c r="M8" i="7" a="1"/>
  <c r="M8" i="7" s="1"/>
  <c r="S8" i="7" s="1"/>
  <c r="L8" i="7" a="1"/>
  <c r="L8" i="7" s="1"/>
  <c r="R8" i="7" s="1"/>
  <c r="L35" i="7" a="1"/>
  <c r="L35" i="7" s="1"/>
  <c r="R35" i="7" s="1"/>
  <c r="M35" i="7" a="1"/>
  <c r="M35" i="7" s="1"/>
  <c r="S35" i="7" s="1"/>
  <c r="L43" i="7" a="1"/>
  <c r="L43" i="7" s="1"/>
  <c r="R43" i="7" s="1"/>
  <c r="M43" i="7" a="1"/>
  <c r="M43" i="7" s="1"/>
  <c r="S43" i="7" s="1"/>
  <c r="M12" i="7" a="1"/>
  <c r="M12" i="7" s="1"/>
  <c r="S12" i="7" s="1"/>
  <c r="L12" i="7" a="1"/>
  <c r="L12" i="7" s="1"/>
  <c r="R12" i="7" s="1"/>
  <c r="M36" i="7" a="1"/>
  <c r="M36" i="7" s="1"/>
  <c r="S36" i="7" s="1"/>
  <c r="L36" i="7" a="1"/>
  <c r="L36" i="7" s="1"/>
  <c r="R36" i="7" s="1"/>
  <c r="M19" i="7" a="1"/>
  <c r="M19" i="7" s="1"/>
  <c r="S19" i="7" s="1"/>
  <c r="L19" i="7" a="1"/>
  <c r="L19" i="7" s="1"/>
  <c r="R19" i="7" s="1"/>
  <c r="M17" i="7" a="1"/>
  <c r="M17" i="7" s="1"/>
  <c r="S17" i="7" s="1"/>
  <c r="L17" i="7" a="1"/>
  <c r="L17" i="7" s="1"/>
  <c r="R17" i="7" s="1"/>
  <c r="M6" i="7" a="1"/>
  <c r="M6" i="7" s="1"/>
  <c r="S6" i="7" s="1"/>
  <c r="L6" i="7" a="1"/>
  <c r="L6" i="7" s="1"/>
  <c r="R6" i="7" s="1"/>
  <c r="M7" i="7" a="1"/>
  <c r="M7" i="7" s="1"/>
  <c r="S7" i="7" s="1"/>
  <c r="L7" i="7" a="1"/>
  <c r="L7" i="7" s="1"/>
  <c r="R7" i="7" s="1"/>
  <c r="M32" i="7" a="1"/>
  <c r="M32" i="7" s="1"/>
  <c r="S32" i="7" s="1"/>
  <c r="L32" i="7" a="1"/>
  <c r="L32" i="7" s="1"/>
  <c r="R32" i="7" s="1"/>
  <c r="M14" i="7" a="1"/>
  <c r="M14" i="7" s="1"/>
  <c r="S14" i="7" s="1"/>
  <c r="L14" i="7" a="1"/>
  <c r="L14" i="7" s="1"/>
  <c r="R14" i="7" s="1"/>
  <c r="M38" i="7" a="1"/>
  <c r="M38" i="7" s="1"/>
  <c r="S38" i="7" s="1"/>
  <c r="L38" i="7" a="1"/>
  <c r="L38" i="7" s="1"/>
  <c r="R38" i="7" s="1"/>
  <c r="M45" i="7" a="1"/>
  <c r="M45" i="7" s="1"/>
  <c r="S45" i="7" s="1"/>
  <c r="L45" i="7" a="1"/>
  <c r="L45" i="7" s="1"/>
  <c r="R45" i="7" s="1"/>
  <c r="M23" i="7" a="1"/>
  <c r="M23" i="7" s="1"/>
  <c r="S23" i="7" s="1"/>
  <c r="L23" i="7" a="1"/>
  <c r="L23" i="7" s="1"/>
  <c r="R23" i="7" s="1"/>
  <c r="M22" i="7" a="1"/>
  <c r="M22" i="7" s="1"/>
  <c r="S22" i="7" s="1"/>
  <c r="L22" i="7" a="1"/>
  <c r="L22" i="7" s="1"/>
  <c r="R22" i="7" s="1"/>
  <c r="M26" i="7" a="1"/>
  <c r="M26" i="7" s="1"/>
  <c r="S26" i="7" s="1"/>
  <c r="L26" i="7" a="1"/>
  <c r="L26" i="7" s="1"/>
  <c r="R26" i="7" s="1"/>
  <c r="M16" i="7" a="1"/>
  <c r="M16" i="7" s="1"/>
  <c r="S16" i="7" s="1"/>
  <c r="L16" i="7" a="1"/>
  <c r="L16" i="7" s="1"/>
  <c r="R16" i="7" s="1"/>
  <c r="M40" i="7" a="1"/>
  <c r="M40" i="7" s="1"/>
  <c r="S40" i="7" s="1"/>
  <c r="L40" i="7" a="1"/>
  <c r="L40" i="7" s="1"/>
  <c r="R40" i="7" s="1"/>
  <c r="M27" i="7" a="1"/>
  <c r="M27" i="7" s="1"/>
  <c r="S27" i="7" s="1"/>
  <c r="L27" i="7" a="1"/>
  <c r="L27" i="7" s="1"/>
  <c r="R27" i="7" s="1"/>
  <c r="L31" i="7" a="1"/>
  <c r="L31" i="7" s="1"/>
  <c r="R31" i="7" s="1"/>
  <c r="M31" i="7" a="1"/>
  <c r="M31" i="7" s="1"/>
  <c r="S31" i="7" s="1"/>
  <c r="M48" i="7" a="1"/>
  <c r="M48" i="7" s="1"/>
  <c r="S48" i="7" s="1"/>
  <c r="L48" i="7" a="1"/>
  <c r="L48" i="7" s="1"/>
  <c r="R48" i="7" s="1"/>
  <c r="M15" i="7" a="1"/>
  <c r="M15" i="7" s="1"/>
  <c r="S15" i="7" s="1"/>
  <c r="L15" i="7" a="1"/>
  <c r="L15" i="7" s="1"/>
  <c r="R15" i="7" s="1"/>
  <c r="M5" i="7" a="1"/>
  <c r="M5" i="7" s="1"/>
  <c r="S5" i="7" s="1"/>
  <c r="L5" i="7" a="1"/>
  <c r="L5" i="7" s="1"/>
  <c r="R5" i="7" s="1"/>
  <c r="M18" i="7" a="1"/>
  <c r="M18" i="7" s="1"/>
  <c r="S18" i="7" s="1"/>
  <c r="L18" i="7" a="1"/>
  <c r="L18" i="7" s="1"/>
  <c r="R18" i="7" s="1"/>
  <c r="M42" i="7" a="1"/>
  <c r="M42" i="7" s="1"/>
  <c r="S42" i="7" s="1"/>
  <c r="L42" i="7" a="1"/>
  <c r="L42" i="7" s="1"/>
  <c r="R42" i="7" s="1"/>
  <c r="M25" i="7" a="1"/>
  <c r="M25" i="7" s="1"/>
  <c r="S25" i="7" s="1"/>
  <c r="L25" i="7" a="1"/>
  <c r="L25" i="7" s="1"/>
  <c r="R25" i="7" s="1"/>
  <c r="M37" i="7" a="1"/>
  <c r="M37" i="7" s="1"/>
  <c r="S37" i="7" s="1"/>
  <c r="L37" i="7" a="1"/>
  <c r="L37" i="7" s="1"/>
  <c r="R37" i="7" s="1"/>
  <c r="L46" i="7" a="1"/>
  <c r="L46" i="7" s="1"/>
  <c r="R46" i="7" s="1"/>
  <c r="M46" i="7" a="1"/>
  <c r="M46" i="7" s="1"/>
  <c r="S46" i="7" s="1"/>
  <c r="M9" i="7" a="1"/>
  <c r="M9" i="7" s="1"/>
  <c r="S9" i="7" s="1"/>
  <c r="L9" i="7" a="1"/>
  <c r="L9" i="7" s="1"/>
  <c r="R9" i="7" s="1"/>
  <c r="M28" i="7" a="1"/>
  <c r="M28" i="7" s="1"/>
  <c r="S28" i="7" s="1"/>
  <c r="L28" i="7" a="1"/>
  <c r="L28" i="7" s="1"/>
  <c r="R28" i="7" s="1"/>
  <c r="M33" i="7" a="1"/>
  <c r="M33" i="7" s="1"/>
  <c r="S33" i="7" s="1"/>
  <c r="L33" i="7" a="1"/>
  <c r="L33" i="7" s="1"/>
  <c r="R33" i="7" s="1"/>
  <c r="M11" i="7" a="1"/>
  <c r="M11" i="7" s="1"/>
  <c r="S11" i="7" s="1"/>
  <c r="L11" i="7" a="1"/>
  <c r="L11" i="7" s="1"/>
  <c r="R11" i="7" s="1"/>
  <c r="M10" i="7" a="1"/>
  <c r="M10" i="7" s="1"/>
  <c r="S10" i="7" s="1"/>
  <c r="L10" i="7" a="1"/>
  <c r="L10" i="7" s="1"/>
  <c r="R10" i="7" s="1"/>
  <c r="M34" i="7" a="1"/>
  <c r="M34" i="7" s="1"/>
  <c r="S34" i="7" s="1"/>
  <c r="L34" i="7" a="1"/>
  <c r="L34" i="7" s="1"/>
  <c r="R34" i="7" s="1"/>
  <c r="M13" i="7" a="1"/>
  <c r="M13" i="7" s="1"/>
  <c r="S13" i="7" s="1"/>
  <c r="L13" i="7" a="1"/>
  <c r="L13" i="7" s="1"/>
  <c r="R13" i="7" s="1"/>
  <c r="M20" i="7" a="1"/>
  <c r="M20" i="7" s="1"/>
  <c r="S20" i="7" s="1"/>
  <c r="L20" i="7" a="1"/>
  <c r="L20" i="7" s="1"/>
  <c r="R20" i="7" s="1"/>
  <c r="M44" i="7" a="1"/>
  <c r="M44" i="7" s="1"/>
  <c r="S44" i="7" s="1"/>
  <c r="L44" i="7" a="1"/>
  <c r="L44" i="7" s="1"/>
  <c r="R44" i="7" s="1"/>
  <c r="M21" i="7" a="1"/>
  <c r="M21" i="7" s="1"/>
  <c r="S21" i="7" s="1"/>
  <c r="L21" i="7" a="1"/>
  <c r="L21" i="7" s="1"/>
  <c r="R21" i="7" s="1"/>
  <c r="L47" i="7" a="1"/>
  <c r="L47" i="7" s="1"/>
  <c r="R47" i="7" s="1"/>
  <c r="M47" i="7" a="1"/>
  <c r="M47" i="7" s="1"/>
  <c r="S47" i="7" s="1"/>
  <c r="L50" i="7" a="1"/>
  <c r="L50" i="7" s="1"/>
  <c r="R50" i="7" s="1"/>
  <c r="M50" i="7" a="1"/>
  <c r="M50" i="7" s="1"/>
  <c r="S50" i="7" s="1"/>
  <c r="M52" i="7" a="1"/>
  <c r="M52" i="7" s="1"/>
  <c r="S52" i="7" s="1"/>
  <c r="L52" i="7" a="1"/>
  <c r="L52" i="7" s="1"/>
  <c r="R52" i="7" s="1"/>
  <c r="L49" i="7" a="1"/>
  <c r="L49" i="7" s="1"/>
  <c r="R49" i="7" s="1"/>
  <c r="M49" i="7" a="1"/>
  <c r="M49" i="7" s="1"/>
  <c r="S49" i="7" s="1"/>
  <c r="M54" i="7" a="1"/>
  <c r="M54" i="7" s="1"/>
  <c r="S54" i="7" s="1"/>
  <c r="L54" i="7" a="1"/>
  <c r="L54" i="7" s="1"/>
  <c r="R54" i="7" s="1"/>
  <c r="L51" i="7" a="1"/>
  <c r="L51" i="7" s="1"/>
  <c r="R51" i="7" s="1"/>
  <c r="M51" i="7" a="1"/>
  <c r="M51" i="7" s="1"/>
  <c r="S51" i="7" s="1"/>
  <c r="M53" i="7" a="1"/>
  <c r="M53" i="7" s="1"/>
  <c r="S53" i="7" s="1"/>
  <c r="L53" i="7" a="1"/>
  <c r="L53" i="7" s="1"/>
  <c r="R53" i="7" s="1"/>
  <c r="M3" i="7" a="1"/>
  <c r="M3" i="7" s="1"/>
  <c r="S3" i="7" s="1"/>
  <c r="L3" i="7" a="1"/>
  <c r="L3" i="7" s="1"/>
  <c r="R3" i="7" s="1"/>
  <c r="V2" i="7" l="1"/>
  <c r="V3" i="7"/>
  <c r="V8" i="7"/>
  <c r="V16" i="7"/>
  <c r="V12" i="7"/>
  <c r="BK5" i="5"/>
  <c r="BL5" i="5"/>
  <c r="BM5" i="5"/>
  <c r="BN5" i="5"/>
  <c r="BO5" i="5"/>
  <c r="BK6" i="5"/>
  <c r="BL6" i="5"/>
  <c r="BM6" i="5"/>
  <c r="BN6" i="5"/>
  <c r="BO6" i="5"/>
  <c r="BK7" i="5"/>
  <c r="BL7" i="5"/>
  <c r="BM7" i="5"/>
  <c r="BN7" i="5"/>
  <c r="BO7" i="5"/>
  <c r="BK8" i="5"/>
  <c r="BL8" i="5"/>
  <c r="BM8" i="5"/>
  <c r="BN8" i="5"/>
  <c r="BO8" i="5"/>
  <c r="BK9" i="5"/>
  <c r="BL9" i="5"/>
  <c r="BM9" i="5"/>
  <c r="BN9" i="5"/>
  <c r="BO9" i="5"/>
  <c r="BK10" i="5"/>
  <c r="BL10" i="5"/>
  <c r="BM10" i="5"/>
  <c r="BN10" i="5"/>
  <c r="BO10" i="5"/>
  <c r="BK11" i="5"/>
  <c r="BL11" i="5"/>
  <c r="BM11" i="5"/>
  <c r="BN11" i="5"/>
  <c r="BO11" i="5"/>
  <c r="BK12" i="5"/>
  <c r="BR12" i="5" s="1"/>
  <c r="BL12" i="5"/>
  <c r="BM12" i="5"/>
  <c r="BN12" i="5"/>
  <c r="BO12" i="5"/>
  <c r="BK13" i="5"/>
  <c r="BL13" i="5"/>
  <c r="BM13" i="5"/>
  <c r="BN13" i="5"/>
  <c r="BO13" i="5"/>
  <c r="BK14" i="5"/>
  <c r="BL14" i="5"/>
  <c r="BM14" i="5"/>
  <c r="BN14" i="5"/>
  <c r="BO14" i="5"/>
  <c r="BK15" i="5"/>
  <c r="BL15" i="5"/>
  <c r="BM15" i="5"/>
  <c r="BN15" i="5"/>
  <c r="BO15" i="5"/>
  <c r="BK16" i="5"/>
  <c r="BL16" i="5"/>
  <c r="BM16" i="5"/>
  <c r="BN16" i="5"/>
  <c r="BO16" i="5"/>
  <c r="BK17" i="5"/>
  <c r="BL17" i="5"/>
  <c r="BM17" i="5"/>
  <c r="BN17" i="5"/>
  <c r="BO17" i="5"/>
  <c r="BK18" i="5"/>
  <c r="BL18" i="5"/>
  <c r="BM18" i="5"/>
  <c r="BN18" i="5"/>
  <c r="BO18" i="5"/>
  <c r="BK19" i="5"/>
  <c r="BL19" i="5"/>
  <c r="BM19" i="5"/>
  <c r="BN19" i="5"/>
  <c r="BO19" i="5"/>
  <c r="BK20" i="5"/>
  <c r="BL20" i="5"/>
  <c r="BM20" i="5"/>
  <c r="BN20" i="5"/>
  <c r="BO20" i="5"/>
  <c r="BK21" i="5"/>
  <c r="BL21" i="5"/>
  <c r="BM21" i="5"/>
  <c r="BN21" i="5"/>
  <c r="BO21" i="5"/>
  <c r="BK22" i="5"/>
  <c r="BL22" i="5"/>
  <c r="BM22" i="5"/>
  <c r="BN22" i="5"/>
  <c r="BO22" i="5"/>
  <c r="BK23" i="5"/>
  <c r="BL23" i="5"/>
  <c r="BM23" i="5"/>
  <c r="BN23" i="5"/>
  <c r="BU23" i="5" s="1"/>
  <c r="BO23" i="5"/>
  <c r="BK24" i="5"/>
  <c r="BL24" i="5"/>
  <c r="BM24" i="5"/>
  <c r="BN24" i="5"/>
  <c r="BO24" i="5"/>
  <c r="BK25" i="5"/>
  <c r="BL25" i="5"/>
  <c r="BM25" i="5"/>
  <c r="BN25" i="5"/>
  <c r="BO25" i="5"/>
  <c r="BK26" i="5"/>
  <c r="BL26" i="5"/>
  <c r="BM26" i="5"/>
  <c r="BN26" i="5"/>
  <c r="BO26" i="5"/>
  <c r="BK27" i="5"/>
  <c r="BL27" i="5"/>
  <c r="BM27" i="5"/>
  <c r="BN27" i="5"/>
  <c r="BO27" i="5"/>
  <c r="BK28" i="5"/>
  <c r="BL28" i="5"/>
  <c r="BM28" i="5"/>
  <c r="BN28" i="5"/>
  <c r="BO28" i="5"/>
  <c r="BK29" i="5"/>
  <c r="BL29" i="5"/>
  <c r="BM29" i="5"/>
  <c r="BN29" i="5"/>
  <c r="BO29" i="5"/>
  <c r="BK30" i="5"/>
  <c r="BL30" i="5"/>
  <c r="BM30" i="5"/>
  <c r="BN30" i="5"/>
  <c r="BO30" i="5"/>
  <c r="BK31" i="5"/>
  <c r="BL31" i="5"/>
  <c r="BM31" i="5"/>
  <c r="BN31" i="5"/>
  <c r="BO31" i="5"/>
  <c r="BK32" i="5"/>
  <c r="BL32" i="5"/>
  <c r="BM32" i="5"/>
  <c r="BN32" i="5"/>
  <c r="BO32" i="5"/>
  <c r="BK33" i="5"/>
  <c r="BL33" i="5"/>
  <c r="BM33" i="5"/>
  <c r="BN33" i="5"/>
  <c r="BO33" i="5"/>
  <c r="BK34" i="5"/>
  <c r="BL34" i="5"/>
  <c r="BM34" i="5"/>
  <c r="BN34" i="5"/>
  <c r="BO34" i="5"/>
  <c r="BK35" i="5"/>
  <c r="BL35" i="5"/>
  <c r="BM35" i="5"/>
  <c r="BN35" i="5"/>
  <c r="BO35" i="5"/>
  <c r="BK36" i="5"/>
  <c r="BL36" i="5"/>
  <c r="BM36" i="5"/>
  <c r="BN36" i="5"/>
  <c r="BO36" i="5"/>
  <c r="BK37" i="5"/>
  <c r="BL37" i="5"/>
  <c r="BM37" i="5"/>
  <c r="BN37" i="5"/>
  <c r="BO37" i="5"/>
  <c r="BK38" i="5"/>
  <c r="BL38" i="5"/>
  <c r="BM38" i="5"/>
  <c r="BN38" i="5"/>
  <c r="BO38" i="5"/>
  <c r="BK39" i="5"/>
  <c r="BL39" i="5"/>
  <c r="BM39" i="5"/>
  <c r="BN39" i="5"/>
  <c r="BO39" i="5"/>
  <c r="BK40" i="5"/>
  <c r="BL40" i="5"/>
  <c r="BM40" i="5"/>
  <c r="BN40" i="5"/>
  <c r="BO40" i="5"/>
  <c r="BK41" i="5"/>
  <c r="BL41" i="5"/>
  <c r="BM41" i="5"/>
  <c r="BN41" i="5"/>
  <c r="BO41" i="5"/>
  <c r="BK42" i="5"/>
  <c r="BL42" i="5"/>
  <c r="BM42" i="5"/>
  <c r="BN42" i="5"/>
  <c r="BO42" i="5"/>
  <c r="BK43" i="5"/>
  <c r="BU43" i="5" s="1"/>
  <c r="BL43" i="5"/>
  <c r="BM43" i="5"/>
  <c r="BN43" i="5"/>
  <c r="BO43" i="5"/>
  <c r="BK44" i="5"/>
  <c r="BL44" i="5"/>
  <c r="BM44" i="5"/>
  <c r="BN44" i="5"/>
  <c r="BO44" i="5"/>
  <c r="BK45" i="5"/>
  <c r="BL45" i="5"/>
  <c r="BM45" i="5"/>
  <c r="BN45" i="5"/>
  <c r="BO45" i="5"/>
  <c r="BK46" i="5"/>
  <c r="BL46" i="5"/>
  <c r="BM46" i="5"/>
  <c r="BN46" i="5"/>
  <c r="BO46" i="5"/>
  <c r="BK47" i="5"/>
  <c r="BL47" i="5"/>
  <c r="BM47" i="5"/>
  <c r="BN47" i="5"/>
  <c r="BO47" i="5"/>
  <c r="BK48" i="5"/>
  <c r="BL48" i="5"/>
  <c r="BM48" i="5"/>
  <c r="BN48" i="5"/>
  <c r="BO48" i="5"/>
  <c r="BK49" i="5"/>
  <c r="BL49" i="5"/>
  <c r="BM49" i="5"/>
  <c r="BN49" i="5"/>
  <c r="BO49" i="5"/>
  <c r="BK50" i="5"/>
  <c r="BL50" i="5"/>
  <c r="BM50" i="5"/>
  <c r="BN50" i="5"/>
  <c r="BO50" i="5"/>
  <c r="BK51" i="5"/>
  <c r="BL51" i="5"/>
  <c r="BM51" i="5"/>
  <c r="BN51" i="5"/>
  <c r="BO51" i="5"/>
  <c r="BK52" i="5"/>
  <c r="BL52" i="5"/>
  <c r="BM52" i="5"/>
  <c r="BN52" i="5"/>
  <c r="BO52" i="5"/>
  <c r="BK53" i="5"/>
  <c r="BL53" i="5"/>
  <c r="BM53" i="5"/>
  <c r="BN53" i="5"/>
  <c r="BO53" i="5"/>
  <c r="BK54" i="5"/>
  <c r="BL54" i="5"/>
  <c r="BM54" i="5"/>
  <c r="BN54" i="5"/>
  <c r="BO54" i="5"/>
  <c r="BK55" i="5"/>
  <c r="BW55" i="5" s="1"/>
  <c r="BL55" i="5"/>
  <c r="BM55" i="5"/>
  <c r="BN55" i="5"/>
  <c r="BO55" i="5"/>
  <c r="BK56" i="5"/>
  <c r="BL56" i="5"/>
  <c r="BM56" i="5"/>
  <c r="BN56" i="5"/>
  <c r="BO56" i="5"/>
  <c r="BO4" i="5"/>
  <c r="BN4" i="5"/>
  <c r="BM4" i="5"/>
  <c r="BK4" i="5"/>
  <c r="BL4" i="5"/>
  <c r="BR23" i="5"/>
  <c r="BT23" i="5"/>
  <c r="BW23" i="5"/>
  <c r="W16" i="5" a="1"/>
  <c r="W16" i="5" s="1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6" i="4"/>
  <c r="K15" i="4"/>
  <c r="K14" i="4"/>
  <c r="K13" i="4"/>
  <c r="K8" i="4"/>
  <c r="K7" i="4"/>
  <c r="K6" i="4"/>
  <c r="K5" i="4"/>
  <c r="B23" i="4"/>
  <c r="BJ62" i="5"/>
  <c r="BT63" i="5" s="1"/>
  <c r="BJ61" i="5"/>
  <c r="BT62" i="5" s="1"/>
  <c r="BJ60" i="5"/>
  <c r="BT61" i="5" s="1"/>
  <c r="BJ59" i="5"/>
  <c r="BT60" i="5" s="1"/>
  <c r="BJ58" i="5"/>
  <c r="BT59" i="5" s="1"/>
  <c r="BJ57" i="5"/>
  <c r="BT58" i="5" s="1"/>
  <c r="BJ56" i="5"/>
  <c r="BT57" i="5" s="1"/>
  <c r="BJ55" i="5"/>
  <c r="BT56" i="5" s="1"/>
  <c r="BJ54" i="5"/>
  <c r="BT55" i="5" s="1"/>
  <c r="BW54" i="5"/>
  <c r="BJ53" i="5"/>
  <c r="BT54" i="5" s="1"/>
  <c r="BW53" i="5"/>
  <c r="BJ52" i="5"/>
  <c r="BT53" i="5" s="1"/>
  <c r="BJ51" i="5"/>
  <c r="BT52" i="5" s="1"/>
  <c r="BT51" i="5"/>
  <c r="BU51" i="5"/>
  <c r="BW51" i="5"/>
  <c r="BJ50" i="5"/>
  <c r="BJ49" i="5"/>
  <c r="BT50" i="5" s="1"/>
  <c r="BJ48" i="5"/>
  <c r="BT49" i="5" s="1"/>
  <c r="BJ47" i="5"/>
  <c r="BT48" i="5" s="1"/>
  <c r="BJ46" i="5"/>
  <c r="BT47" i="5" s="1"/>
  <c r="BJ45" i="5"/>
  <c r="BT46" i="5" s="1"/>
  <c r="BJ44" i="5"/>
  <c r="BT45" i="5" s="1"/>
  <c r="BJ43" i="5"/>
  <c r="BT44" i="5" s="1"/>
  <c r="BJ42" i="5"/>
  <c r="BT43" i="5" s="1"/>
  <c r="BJ41" i="5"/>
  <c r="BT42" i="5" s="1"/>
  <c r="BW41" i="5"/>
  <c r="BJ40" i="5"/>
  <c r="BT41" i="5" s="1"/>
  <c r="BJ39" i="5"/>
  <c r="BT40" i="5" s="1"/>
  <c r="BJ38" i="5"/>
  <c r="BT39" i="5" s="1"/>
  <c r="BJ37" i="5"/>
  <c r="BT38" i="5" s="1"/>
  <c r="BJ36" i="5"/>
  <c r="BT37" i="5" s="1"/>
  <c r="BJ35" i="5"/>
  <c r="BT36" i="5" s="1"/>
  <c r="BJ34" i="5"/>
  <c r="BT35" i="5" s="1"/>
  <c r="BJ33" i="5"/>
  <c r="BT34" i="5" s="1"/>
  <c r="BJ32" i="5"/>
  <c r="BT33" i="5" s="1"/>
  <c r="BW32" i="5"/>
  <c r="BJ31" i="5"/>
  <c r="BT32" i="5" s="1"/>
  <c r="BJ30" i="5"/>
  <c r="BT31" i="5" s="1"/>
  <c r="BW30" i="5"/>
  <c r="BJ29" i="5"/>
  <c r="BT30" i="5" s="1"/>
  <c r="BJ28" i="5"/>
  <c r="BT29" i="5" s="1"/>
  <c r="BW28" i="5"/>
  <c r="BJ27" i="5"/>
  <c r="BT28" i="5" s="1"/>
  <c r="BR27" i="5"/>
  <c r="BJ26" i="5"/>
  <c r="BT27" i="5" s="1"/>
  <c r="BJ25" i="5"/>
  <c r="BT26" i="5" s="1"/>
  <c r="BJ24" i="5"/>
  <c r="BT25" i="5" s="1"/>
  <c r="BJ23" i="5"/>
  <c r="BT24" i="5" s="1"/>
  <c r="BJ22" i="5"/>
  <c r="BT22" i="5" s="1"/>
  <c r="BJ21" i="5"/>
  <c r="BT21" i="5" s="1"/>
  <c r="BJ20" i="5"/>
  <c r="BT20" i="5" s="1"/>
  <c r="BJ19" i="5"/>
  <c r="BT19" i="5" s="1"/>
  <c r="BJ18" i="5"/>
  <c r="BT18" i="5" s="1"/>
  <c r="BJ17" i="5"/>
  <c r="BT17" i="5" s="1"/>
  <c r="BJ16" i="5"/>
  <c r="BT16" i="5" s="1"/>
  <c r="BC16" i="5" a="1"/>
  <c r="BC16" i="5" s="1"/>
  <c r="BB16" i="5" a="1"/>
  <c r="BB16" i="5" s="1"/>
  <c r="BA16" i="5" a="1"/>
  <c r="BA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BW15" i="5"/>
  <c r="BJ15" i="5"/>
  <c r="BT15" i="5" s="1"/>
  <c r="BJ14" i="5"/>
  <c r="BT14" i="5" s="1"/>
  <c r="BJ13" i="5"/>
  <c r="BT13" i="5" s="1"/>
  <c r="BJ12" i="5"/>
  <c r="BT12" i="5" s="1"/>
  <c r="BR11" i="5"/>
  <c r="BJ11" i="5"/>
  <c r="BT11" i="5" s="1"/>
  <c r="BJ10" i="5"/>
  <c r="BT10" i="5" s="1"/>
  <c r="BJ9" i="5"/>
  <c r="BT9" i="5" s="1"/>
  <c r="BJ8" i="5"/>
  <c r="BT8" i="5" s="1"/>
  <c r="BJ7" i="5"/>
  <c r="BT7" i="5" s="1"/>
  <c r="BJ6" i="5"/>
  <c r="BT6" i="5" s="1"/>
  <c r="BW5" i="5"/>
  <c r="BJ5" i="5"/>
  <c r="BT5" i="5" s="1"/>
  <c r="BR4" i="5"/>
  <c r="BJ4" i="5"/>
  <c r="BT4" i="5" s="1"/>
  <c r="B71" i="4"/>
  <c r="B70" i="4"/>
  <c r="B69" i="4"/>
  <c r="B68" i="4"/>
  <c r="B67" i="4"/>
  <c r="C66" i="4"/>
  <c r="B66" i="4"/>
  <c r="B65" i="4"/>
  <c r="B56" i="4"/>
  <c r="B55" i="4"/>
  <c r="B54" i="4"/>
  <c r="B53" i="4"/>
  <c r="B52" i="4"/>
  <c r="I51" i="4"/>
  <c r="C51" i="4"/>
  <c r="Z48" i="4" s="1" a="1"/>
  <c r="Z48" i="4" s="1"/>
  <c r="B51" i="4"/>
  <c r="T50" i="4" a="1"/>
  <c r="T50" i="4" s="1"/>
  <c r="S50" i="4" a="1"/>
  <c r="S50" i="4" s="1"/>
  <c r="B50" i="4"/>
  <c r="AB49" i="4"/>
  <c r="X49" i="4" a="1"/>
  <c r="X49" i="4" s="1"/>
  <c r="D49" i="4"/>
  <c r="B49" i="4"/>
  <c r="AB48" i="4"/>
  <c r="R48" i="4" a="1"/>
  <c r="R48" i="4" s="1"/>
  <c r="B48" i="4"/>
  <c r="AB47" i="4"/>
  <c r="X47" i="4" a="1"/>
  <c r="X47" i="4" s="1"/>
  <c r="M47" i="4"/>
  <c r="L47" i="4"/>
  <c r="B47" i="4"/>
  <c r="AR46" i="4"/>
  <c r="AB46" i="4"/>
  <c r="T46" i="4" a="1"/>
  <c r="T46" i="4" s="1"/>
  <c r="N46" i="4"/>
  <c r="J46" i="4"/>
  <c r="I46" i="4"/>
  <c r="B46" i="4"/>
  <c r="AR45" i="4"/>
  <c r="AB45" i="4"/>
  <c r="Z45" i="4" a="1"/>
  <c r="Z45" i="4" s="1"/>
  <c r="Y45" i="4" a="1"/>
  <c r="Y45" i="4" s="1"/>
  <c r="X45" i="4" a="1"/>
  <c r="X45" i="4" s="1"/>
  <c r="T45" i="4" a="1"/>
  <c r="T45" i="4" s="1"/>
  <c r="S45" i="4" a="1"/>
  <c r="S45" i="4" s="1"/>
  <c r="R45" i="4" a="1"/>
  <c r="R45" i="4" s="1"/>
  <c r="D45" i="4"/>
  <c r="B45" i="4"/>
  <c r="AR44" i="4"/>
  <c r="AB44" i="4"/>
  <c r="Z44" i="4" a="1"/>
  <c r="Z44" i="4" s="1"/>
  <c r="Y44" i="4" a="1"/>
  <c r="Y44" i="4" s="1"/>
  <c r="X44" i="4" a="1"/>
  <c r="X44" i="4" s="1"/>
  <c r="T44" i="4" a="1"/>
  <c r="T44" i="4" s="1"/>
  <c r="S44" i="4" a="1"/>
  <c r="S44" i="4" s="1"/>
  <c r="B44" i="4"/>
  <c r="AR43" i="4"/>
  <c r="AB43" i="4"/>
  <c r="T43" i="4" a="1"/>
  <c r="T43" i="4" s="1"/>
  <c r="S43" i="4" a="1"/>
  <c r="S43" i="4" s="1"/>
  <c r="R43" i="4" a="1"/>
  <c r="R43" i="4" s="1"/>
  <c r="B43" i="4"/>
  <c r="AR42" i="4"/>
  <c r="AB42" i="4"/>
  <c r="Z42" i="4" a="1"/>
  <c r="Z42" i="4" s="1"/>
  <c r="Y42" i="4" a="1"/>
  <c r="Y42" i="4" s="1"/>
  <c r="X42" i="4" a="1"/>
  <c r="X42" i="4" s="1"/>
  <c r="T42" i="4" a="1"/>
  <c r="T42" i="4" s="1"/>
  <c r="S42" i="4" a="1"/>
  <c r="S42" i="4" s="1"/>
  <c r="M42" i="4"/>
  <c r="L42" i="4"/>
  <c r="B42" i="4"/>
  <c r="AR41" i="4"/>
  <c r="AB41" i="4"/>
  <c r="Z41" i="4" a="1"/>
  <c r="Z41" i="4" s="1"/>
  <c r="X41" i="4" a="1"/>
  <c r="X41" i="4" s="1"/>
  <c r="T41" i="4" a="1"/>
  <c r="T41" i="4" s="1"/>
  <c r="R41" i="4" a="1"/>
  <c r="R41" i="4" s="1"/>
  <c r="N41" i="4"/>
  <c r="D41" i="4"/>
  <c r="X40" i="4" s="1" a="1"/>
  <c r="X40" i="4" s="1"/>
  <c r="B41" i="4"/>
  <c r="AR40" i="4"/>
  <c r="AB40" i="4"/>
  <c r="Z40" i="4" a="1"/>
  <c r="Z40" i="4" s="1"/>
  <c r="Y40" i="4" a="1"/>
  <c r="Y40" i="4" s="1"/>
  <c r="T40" i="4" a="1"/>
  <c r="T40" i="4" s="1"/>
  <c r="S40" i="4" a="1"/>
  <c r="S40" i="4" s="1"/>
  <c r="D40" i="4"/>
  <c r="B40" i="4"/>
  <c r="AR39" i="4"/>
  <c r="AB39" i="4"/>
  <c r="Z39" i="4" a="1"/>
  <c r="Z39" i="4" s="1"/>
  <c r="Y39" i="4" a="1"/>
  <c r="Y39" i="4" s="1"/>
  <c r="X39" i="4" a="1"/>
  <c r="X39" i="4" s="1"/>
  <c r="T39" i="4" a="1"/>
  <c r="T39" i="4" s="1"/>
  <c r="S39" i="4" a="1"/>
  <c r="S39" i="4" s="1"/>
  <c r="R39" i="4" a="1"/>
  <c r="R39" i="4" s="1"/>
  <c r="D39" i="4"/>
  <c r="X38" i="4" s="1" a="1"/>
  <c r="X38" i="4" s="1"/>
  <c r="B39" i="4"/>
  <c r="AR38" i="4"/>
  <c r="AB38" i="4"/>
  <c r="Z38" i="4" a="1"/>
  <c r="Z38" i="4" s="1"/>
  <c r="Y38" i="4" a="1"/>
  <c r="Y38" i="4" s="1"/>
  <c r="T38" i="4" a="1"/>
  <c r="T38" i="4" s="1"/>
  <c r="S38" i="4" a="1"/>
  <c r="S38" i="4" s="1"/>
  <c r="D38" i="4"/>
  <c r="R38" i="4" s="1" a="1"/>
  <c r="R38" i="4" s="1"/>
  <c r="B38" i="4"/>
  <c r="AR37" i="4"/>
  <c r="AB37" i="4"/>
  <c r="Z37" i="4" a="1"/>
  <c r="Z37" i="4" s="1"/>
  <c r="Y37" i="4" a="1"/>
  <c r="Y37" i="4" s="1"/>
  <c r="X37" i="4" a="1"/>
  <c r="X37" i="4" s="1"/>
  <c r="T37" i="4" a="1"/>
  <c r="T37" i="4" s="1"/>
  <c r="S37" i="4" a="1"/>
  <c r="S37" i="4" s="1"/>
  <c r="R37" i="4" a="1"/>
  <c r="R37" i="4" s="1"/>
  <c r="M37" i="4"/>
  <c r="L37" i="4"/>
  <c r="N37" i="4" s="1"/>
  <c r="J37" i="4"/>
  <c r="I37" i="4"/>
  <c r="D37" i="4"/>
  <c r="B37" i="4"/>
  <c r="AR36" i="4"/>
  <c r="AB36" i="4"/>
  <c r="Z36" i="4" a="1"/>
  <c r="Z36" i="4" s="1"/>
  <c r="Y36" i="4" a="1"/>
  <c r="Y36" i="4" s="1"/>
  <c r="T36" i="4" a="1"/>
  <c r="T36" i="4" s="1"/>
  <c r="S36" i="4" a="1"/>
  <c r="S36" i="4" s="1"/>
  <c r="N36" i="4"/>
  <c r="D36" i="4"/>
  <c r="R36" i="4" s="1" a="1"/>
  <c r="R36" i="4" s="1"/>
  <c r="B36" i="4"/>
  <c r="AR35" i="4"/>
  <c r="AB35" i="4"/>
  <c r="Z35" i="4" a="1"/>
  <c r="Z35" i="4" s="1"/>
  <c r="Y35" i="4" a="1"/>
  <c r="Y35" i="4" s="1"/>
  <c r="X35" i="4" a="1"/>
  <c r="X35" i="4" s="1"/>
  <c r="T35" i="4" a="1"/>
  <c r="T35" i="4" s="1"/>
  <c r="S35" i="4" a="1"/>
  <c r="S35" i="4" s="1"/>
  <c r="R35" i="4" a="1"/>
  <c r="R35" i="4" s="1"/>
  <c r="D35" i="4"/>
  <c r="B35" i="4"/>
  <c r="AR34" i="4"/>
  <c r="AB34" i="4"/>
  <c r="Z34" i="4" a="1"/>
  <c r="Z34" i="4" s="1"/>
  <c r="Y34" i="4" a="1"/>
  <c r="Y34" i="4" s="1"/>
  <c r="T34" i="4" a="1"/>
  <c r="T34" i="4" s="1"/>
  <c r="S34" i="4" a="1"/>
  <c r="S34" i="4" s="1"/>
  <c r="B34" i="4"/>
  <c r="AR33" i="4"/>
  <c r="AB33" i="4"/>
  <c r="Z33" i="4" a="1"/>
  <c r="Z33" i="4" s="1"/>
  <c r="Y33" i="4" a="1"/>
  <c r="Y33" i="4" s="1"/>
  <c r="X33" i="4" a="1"/>
  <c r="X33" i="4" s="1"/>
  <c r="T33" i="4" a="1"/>
  <c r="T33" i="4" s="1"/>
  <c r="S33" i="4" a="1"/>
  <c r="S33" i="4" s="1"/>
  <c r="R33" i="4" a="1"/>
  <c r="R33" i="4" s="1"/>
  <c r="B33" i="4"/>
  <c r="AR32" i="4"/>
  <c r="AB32" i="4"/>
  <c r="Z32" i="4" a="1"/>
  <c r="Z32" i="4" s="1"/>
  <c r="Y32" i="4" a="1"/>
  <c r="Y32" i="4" s="1"/>
  <c r="T32" i="4" a="1"/>
  <c r="T32" i="4" s="1"/>
  <c r="S32" i="4" a="1"/>
  <c r="S32" i="4" s="1"/>
  <c r="B32" i="4"/>
  <c r="AR31" i="4"/>
  <c r="AB31" i="4"/>
  <c r="Z31" i="4" a="1"/>
  <c r="Z31" i="4" s="1"/>
  <c r="Y31" i="4" a="1"/>
  <c r="Y31" i="4" s="1"/>
  <c r="T31" i="4" a="1"/>
  <c r="T31" i="4" s="1"/>
  <c r="S31" i="4" a="1"/>
  <c r="S31" i="4" s="1"/>
  <c r="D31" i="4"/>
  <c r="X34" i="4" s="1" a="1"/>
  <c r="X34" i="4" s="1"/>
  <c r="B31" i="4"/>
  <c r="AR30" i="4"/>
  <c r="AB30" i="4"/>
  <c r="Z30" i="4" a="1"/>
  <c r="Z30" i="4" s="1"/>
  <c r="Y30" i="4" a="1"/>
  <c r="Y30" i="4" s="1"/>
  <c r="X30" i="4" a="1"/>
  <c r="X30" i="4" s="1"/>
  <c r="T30" i="4" a="1"/>
  <c r="T30" i="4" s="1"/>
  <c r="S30" i="4" a="1"/>
  <c r="S30" i="4" s="1"/>
  <c r="R30" i="4" a="1"/>
  <c r="R30" i="4" s="1"/>
  <c r="J30" i="4"/>
  <c r="I30" i="4"/>
  <c r="D30" i="4"/>
  <c r="B30" i="4"/>
  <c r="AR29" i="4"/>
  <c r="AB29" i="4"/>
  <c r="Z29" i="4" a="1"/>
  <c r="Z29" i="4" s="1"/>
  <c r="Y29" i="4" a="1"/>
  <c r="Y29" i="4" s="1"/>
  <c r="X29" i="4" a="1"/>
  <c r="X29" i="4" s="1"/>
  <c r="T29" i="4" a="1"/>
  <c r="T29" i="4" s="1"/>
  <c r="S29" i="4" a="1"/>
  <c r="S29" i="4" s="1"/>
  <c r="R29" i="4" a="1"/>
  <c r="R29" i="4" s="1"/>
  <c r="D29" i="4"/>
  <c r="X32" i="4" s="1" a="1"/>
  <c r="X32" i="4" s="1"/>
  <c r="B29" i="4"/>
  <c r="AR28" i="4"/>
  <c r="AB28" i="4"/>
  <c r="Z28" i="4" a="1"/>
  <c r="Z28" i="4" s="1"/>
  <c r="Y28" i="4" a="1"/>
  <c r="Y28" i="4" s="1"/>
  <c r="X28" i="4" a="1"/>
  <c r="X28" i="4" s="1"/>
  <c r="T28" i="4" a="1"/>
  <c r="T28" i="4" s="1"/>
  <c r="S28" i="4" a="1"/>
  <c r="S28" i="4" s="1"/>
  <c r="R28" i="4" a="1"/>
  <c r="R28" i="4" s="1"/>
  <c r="D28" i="4"/>
  <c r="B28" i="4"/>
  <c r="AR27" i="4"/>
  <c r="AB27" i="4"/>
  <c r="Z27" i="4" a="1"/>
  <c r="Z27" i="4" s="1"/>
  <c r="Y27" i="4" a="1"/>
  <c r="Y27" i="4" s="1"/>
  <c r="X27" i="4" a="1"/>
  <c r="X27" i="4" s="1"/>
  <c r="T27" i="4" a="1"/>
  <c r="T27" i="4" s="1"/>
  <c r="S27" i="4" a="1"/>
  <c r="S27" i="4" s="1"/>
  <c r="R27" i="4" a="1"/>
  <c r="R27" i="4" s="1"/>
  <c r="D27" i="4"/>
  <c r="X31" i="4" s="1" a="1"/>
  <c r="X31" i="4" s="1"/>
  <c r="B27" i="4"/>
  <c r="AR26" i="4"/>
  <c r="AB26" i="4"/>
  <c r="Z26" i="4" a="1"/>
  <c r="Z26" i="4" s="1"/>
  <c r="Y26" i="4" a="1"/>
  <c r="Y26" i="4" s="1"/>
  <c r="X26" i="4" a="1"/>
  <c r="X26" i="4" s="1"/>
  <c r="T26" i="4" a="1"/>
  <c r="T26" i="4" s="1"/>
  <c r="S26" i="4" a="1"/>
  <c r="S26" i="4" s="1"/>
  <c r="R26" i="4" a="1"/>
  <c r="R26" i="4" s="1"/>
  <c r="M26" i="4"/>
  <c r="N26" i="4" s="1"/>
  <c r="L26" i="4"/>
  <c r="J26" i="4"/>
  <c r="I26" i="4"/>
  <c r="D26" i="4"/>
  <c r="R31" i="4" s="1" a="1"/>
  <c r="R31" i="4" s="1"/>
  <c r="B26" i="4"/>
  <c r="AR25" i="4"/>
  <c r="AB25" i="4"/>
  <c r="Z25" i="4" a="1"/>
  <c r="Z25" i="4" s="1"/>
  <c r="Y25" i="4" a="1"/>
  <c r="Y25" i="4" s="1"/>
  <c r="X25" i="4" a="1"/>
  <c r="X25" i="4" s="1"/>
  <c r="T25" i="4" a="1"/>
  <c r="T25" i="4" s="1"/>
  <c r="S25" i="4" a="1"/>
  <c r="S25" i="4" s="1"/>
  <c r="R25" i="4" a="1"/>
  <c r="R25" i="4" s="1"/>
  <c r="N25" i="4"/>
  <c r="B25" i="4"/>
  <c r="AR24" i="4"/>
  <c r="AB24" i="4"/>
  <c r="Z24" i="4" a="1"/>
  <c r="Z24" i="4" s="1"/>
  <c r="Y24" i="4" a="1"/>
  <c r="Y24" i="4" s="1"/>
  <c r="X24" i="4" a="1"/>
  <c r="X24" i="4" s="1"/>
  <c r="T24" i="4" a="1"/>
  <c r="T24" i="4" s="1"/>
  <c r="S24" i="4" a="1"/>
  <c r="S24" i="4" s="1"/>
  <c r="R24" i="4" a="1"/>
  <c r="R24" i="4" s="1"/>
  <c r="B24" i="4"/>
  <c r="AR22" i="4"/>
  <c r="AB22" i="4"/>
  <c r="Z22" i="4" a="1"/>
  <c r="Z22" i="4" s="1"/>
  <c r="Y22" i="4" a="1"/>
  <c r="Y22" i="4" s="1"/>
  <c r="X22" i="4" a="1"/>
  <c r="X22" i="4" s="1"/>
  <c r="T22" i="4" a="1"/>
  <c r="T22" i="4" s="1"/>
  <c r="S22" i="4" a="1"/>
  <c r="S22" i="4" s="1"/>
  <c r="R22" i="4" a="1"/>
  <c r="R22" i="4" s="1"/>
  <c r="B22" i="4"/>
  <c r="AR21" i="4"/>
  <c r="AB21" i="4"/>
  <c r="Z21" i="4" a="1"/>
  <c r="Z21" i="4" s="1"/>
  <c r="Y21" i="4" a="1"/>
  <c r="Y21" i="4" s="1"/>
  <c r="X21" i="4" a="1"/>
  <c r="X21" i="4" s="1"/>
  <c r="T21" i="4" a="1"/>
  <c r="T21" i="4" s="1"/>
  <c r="S21" i="4" a="1"/>
  <c r="S21" i="4" s="1"/>
  <c r="R21" i="4" a="1"/>
  <c r="R21" i="4" s="1"/>
  <c r="J21" i="4"/>
  <c r="I21" i="4"/>
  <c r="B21" i="4"/>
  <c r="AR20" i="4"/>
  <c r="AB20" i="4"/>
  <c r="Z20" i="4" a="1"/>
  <c r="Z20" i="4" s="1"/>
  <c r="Y20" i="4" a="1"/>
  <c r="Y20" i="4" s="1"/>
  <c r="X20" i="4" a="1"/>
  <c r="X20" i="4" s="1"/>
  <c r="T20" i="4" a="1"/>
  <c r="T20" i="4" s="1"/>
  <c r="S20" i="4" a="1"/>
  <c r="S20" i="4" s="1"/>
  <c r="R20" i="4" a="1"/>
  <c r="R20" i="4" s="1"/>
  <c r="B20" i="4"/>
  <c r="AR19" i="4"/>
  <c r="AB19" i="4"/>
  <c r="Z19" i="4" a="1"/>
  <c r="Z19" i="4" s="1"/>
  <c r="Y19" i="4" a="1"/>
  <c r="Y19" i="4" s="1"/>
  <c r="X19" i="4" a="1"/>
  <c r="X19" i="4" s="1"/>
  <c r="T19" i="4" a="1"/>
  <c r="T19" i="4" s="1"/>
  <c r="S19" i="4" a="1"/>
  <c r="S19" i="4" s="1"/>
  <c r="R19" i="4" a="1"/>
  <c r="R19" i="4" s="1"/>
  <c r="E19" i="4"/>
  <c r="K19" i="4" s="1"/>
  <c r="B19" i="4"/>
  <c r="AR18" i="4"/>
  <c r="AB18" i="4"/>
  <c r="Z18" i="4" a="1"/>
  <c r="Z18" i="4" s="1"/>
  <c r="Y18" i="4" a="1"/>
  <c r="Y18" i="4" s="1"/>
  <c r="X18" i="4" a="1"/>
  <c r="X18" i="4" s="1"/>
  <c r="T18" i="4" a="1"/>
  <c r="T18" i="4" s="1"/>
  <c r="S18" i="4" a="1"/>
  <c r="S18" i="4" s="1"/>
  <c r="R18" i="4" a="1"/>
  <c r="R18" i="4" s="1"/>
  <c r="E18" i="4"/>
  <c r="K18" i="4" s="1"/>
  <c r="B18" i="4"/>
  <c r="AR17" i="4"/>
  <c r="AB17" i="4"/>
  <c r="Z17" i="4" a="1"/>
  <c r="Z17" i="4" s="1"/>
  <c r="Y17" i="4" a="1"/>
  <c r="Y17" i="4" s="1"/>
  <c r="X17" i="4" a="1"/>
  <c r="X17" i="4" s="1"/>
  <c r="T17" i="4" a="1"/>
  <c r="T17" i="4" s="1"/>
  <c r="S17" i="4" a="1"/>
  <c r="S17" i="4" s="1"/>
  <c r="R17" i="4" a="1"/>
  <c r="R17" i="4" s="1"/>
  <c r="J17" i="4"/>
  <c r="I17" i="4"/>
  <c r="E17" i="4"/>
  <c r="K17" i="4" s="1"/>
  <c r="B17" i="4"/>
  <c r="AR16" i="4"/>
  <c r="AB16" i="4"/>
  <c r="Z16" i="4" a="1"/>
  <c r="Z16" i="4" s="1"/>
  <c r="Y16" i="4" a="1"/>
  <c r="Y16" i="4" s="1"/>
  <c r="X16" i="4" a="1"/>
  <c r="X16" i="4" s="1"/>
  <c r="T16" i="4" a="1"/>
  <c r="T16" i="4" s="1"/>
  <c r="S16" i="4" a="1"/>
  <c r="S16" i="4" s="1"/>
  <c r="R16" i="4" a="1"/>
  <c r="R16" i="4" s="1"/>
  <c r="B16" i="4"/>
  <c r="AR15" i="4"/>
  <c r="AI15" i="4"/>
  <c r="AH15" i="4" s="1"/>
  <c r="AB15" i="4"/>
  <c r="Z15" i="4" a="1"/>
  <c r="Z15" i="4" s="1"/>
  <c r="Y15" i="4" a="1"/>
  <c r="Y15" i="4" s="1"/>
  <c r="X15" i="4" a="1"/>
  <c r="X15" i="4" s="1"/>
  <c r="T15" i="4" a="1"/>
  <c r="T15" i="4" s="1"/>
  <c r="S15" i="4" a="1"/>
  <c r="S15" i="4" s="1"/>
  <c r="D15" i="4"/>
  <c r="R15" i="4" s="1" a="1"/>
  <c r="R15" i="4" s="1"/>
  <c r="B15" i="4"/>
  <c r="AR14" i="4"/>
  <c r="AI14" i="4"/>
  <c r="AH14" i="4" s="1"/>
  <c r="AB14" i="4"/>
  <c r="Z14" i="4" a="1"/>
  <c r="Z14" i="4" s="1"/>
  <c r="Y14" i="4" a="1"/>
  <c r="Y14" i="4" s="1"/>
  <c r="X14" i="4" a="1"/>
  <c r="X14" i="4" s="1"/>
  <c r="T14" i="4" a="1"/>
  <c r="T14" i="4" s="1"/>
  <c r="S14" i="4" a="1"/>
  <c r="S14" i="4" s="1"/>
  <c r="B14" i="4"/>
  <c r="AR13" i="4"/>
  <c r="AL13" i="4"/>
  <c r="AB13" i="4"/>
  <c r="Z13" i="4" a="1"/>
  <c r="Z13" i="4" s="1"/>
  <c r="Y13" i="4" a="1"/>
  <c r="Y13" i="4" s="1"/>
  <c r="X13" i="4" a="1"/>
  <c r="X13" i="4" s="1"/>
  <c r="T13" i="4" a="1"/>
  <c r="T13" i="4" s="1"/>
  <c r="S13" i="4" a="1"/>
  <c r="S13" i="4" s="1"/>
  <c r="R13" i="4" a="1"/>
  <c r="R13" i="4" s="1"/>
  <c r="J13" i="4"/>
  <c r="I13" i="4"/>
  <c r="D13" i="4"/>
  <c r="R14" i="4" s="1" a="1"/>
  <c r="R14" i="4" s="1"/>
  <c r="B13" i="4"/>
  <c r="AR12" i="4"/>
  <c r="AB12" i="4"/>
  <c r="Z12" i="4" a="1"/>
  <c r="Z12" i="4" s="1"/>
  <c r="Y12" i="4" a="1"/>
  <c r="Y12" i="4" s="1"/>
  <c r="X12" i="4" a="1"/>
  <c r="X12" i="4" s="1"/>
  <c r="T12" i="4" a="1"/>
  <c r="T12" i="4" s="1"/>
  <c r="S12" i="4" a="1"/>
  <c r="S12" i="4" s="1"/>
  <c r="R12" i="4" a="1"/>
  <c r="R12" i="4" s="1"/>
  <c r="E12" i="4"/>
  <c r="K12" i="4" s="1"/>
  <c r="B12" i="4"/>
  <c r="AR11" i="4"/>
  <c r="AI11" i="4"/>
  <c r="AH11" i="4" s="1"/>
  <c r="AB11" i="4"/>
  <c r="Z11" i="4" a="1"/>
  <c r="Z11" i="4" s="1"/>
  <c r="Y11" i="4" a="1"/>
  <c r="Y11" i="4" s="1"/>
  <c r="X11" i="4" a="1"/>
  <c r="X11" i="4" s="1"/>
  <c r="T11" i="4" a="1"/>
  <c r="T11" i="4" s="1"/>
  <c r="S11" i="4" a="1"/>
  <c r="S11" i="4" s="1"/>
  <c r="R11" i="4" a="1"/>
  <c r="R11" i="4" s="1"/>
  <c r="E11" i="4"/>
  <c r="K11" i="4" s="1"/>
  <c r="B11" i="4"/>
  <c r="AR10" i="4"/>
  <c r="AI10" i="4"/>
  <c r="AH10" i="4" s="1"/>
  <c r="AB10" i="4"/>
  <c r="Z10" i="4" a="1"/>
  <c r="Z10" i="4" s="1"/>
  <c r="Y10" i="4" a="1"/>
  <c r="Y10" i="4" s="1"/>
  <c r="X10" i="4" a="1"/>
  <c r="X10" i="4" s="1"/>
  <c r="T10" i="4" a="1"/>
  <c r="T10" i="4" s="1"/>
  <c r="S10" i="4" a="1"/>
  <c r="S10" i="4" s="1"/>
  <c r="R10" i="4" a="1"/>
  <c r="R10" i="4" s="1"/>
  <c r="E10" i="4"/>
  <c r="K10" i="4" s="1"/>
  <c r="B10" i="4"/>
  <c r="AR9" i="4"/>
  <c r="AB9" i="4"/>
  <c r="Z9" i="4" a="1"/>
  <c r="Z9" i="4" s="1"/>
  <c r="Y9" i="4" a="1"/>
  <c r="Y9" i="4" s="1"/>
  <c r="X9" i="4" a="1"/>
  <c r="X9" i="4" s="1"/>
  <c r="T9" i="4" a="1"/>
  <c r="T9" i="4" s="1"/>
  <c r="S9" i="4" a="1"/>
  <c r="S9" i="4" s="1"/>
  <c r="R9" i="4" a="1"/>
  <c r="R9" i="4" s="1"/>
  <c r="J9" i="4"/>
  <c r="I9" i="4"/>
  <c r="E9" i="4"/>
  <c r="K9" i="4" s="1"/>
  <c r="B9" i="4"/>
  <c r="AR8" i="4"/>
  <c r="AB8" i="4"/>
  <c r="Z8" i="4" a="1"/>
  <c r="Z8" i="4" s="1"/>
  <c r="Y8" i="4" a="1"/>
  <c r="Y8" i="4" s="1"/>
  <c r="X8" i="4" a="1"/>
  <c r="X8" i="4" s="1"/>
  <c r="T8" i="4" a="1"/>
  <c r="T8" i="4" s="1"/>
  <c r="S8" i="4" a="1"/>
  <c r="S8" i="4" s="1"/>
  <c r="R8" i="4" a="1"/>
  <c r="R8" i="4" s="1"/>
  <c r="D8" i="4"/>
  <c r="B8" i="4"/>
  <c r="AR7" i="4"/>
  <c r="AI7" i="4"/>
  <c r="AH7" i="4" s="1"/>
  <c r="AB7" i="4"/>
  <c r="Z7" i="4" a="1"/>
  <c r="Z7" i="4" s="1"/>
  <c r="Y7" i="4" a="1"/>
  <c r="Y7" i="4" s="1"/>
  <c r="X7" i="4" a="1"/>
  <c r="X7" i="4" s="1"/>
  <c r="T7" i="4" a="1"/>
  <c r="T7" i="4" s="1"/>
  <c r="S7" i="4" a="1"/>
  <c r="S7" i="4" s="1"/>
  <c r="R7" i="4" a="1"/>
  <c r="R7" i="4" s="1"/>
  <c r="D7" i="4"/>
  <c r="B7" i="4"/>
  <c r="AR6" i="4"/>
  <c r="AI6" i="4"/>
  <c r="AH6" i="4"/>
  <c r="AB6" i="4"/>
  <c r="Z6" i="4" a="1"/>
  <c r="Z6" i="4" s="1"/>
  <c r="Y6" i="4" a="1"/>
  <c r="Y6" i="4" s="1"/>
  <c r="X6" i="4" a="1"/>
  <c r="X6" i="4" s="1"/>
  <c r="V6" i="4"/>
  <c r="V7" i="4" s="1"/>
  <c r="V8" i="4" s="1"/>
  <c r="V9" i="4" s="1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T6" i="4" a="1"/>
  <c r="T6" i="4" s="1"/>
  <c r="S6" i="4" a="1"/>
  <c r="S6" i="4" s="1"/>
  <c r="P6" i="4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B6" i="4"/>
  <c r="AR5" i="4"/>
  <c r="AB5" i="4"/>
  <c r="Z5" i="4" a="1"/>
  <c r="Z5" i="4" s="1"/>
  <c r="Y5" i="4" a="1"/>
  <c r="Y5" i="4" s="1"/>
  <c r="X5" i="4" a="1"/>
  <c r="X5" i="4" s="1"/>
  <c r="T5" i="4" a="1"/>
  <c r="T5" i="4" s="1"/>
  <c r="S5" i="4" a="1"/>
  <c r="S5" i="4" s="1"/>
  <c r="R5" i="4" a="1"/>
  <c r="R5" i="4" s="1"/>
  <c r="J5" i="4"/>
  <c r="I5" i="4"/>
  <c r="B5" i="4"/>
  <c r="AR4" i="4"/>
  <c r="AJ2" i="4"/>
  <c r="AJ1" i="4"/>
  <c r="AO1" i="4" s="1"/>
  <c r="AW17" i="5" a="1"/>
  <c r="P17" i="5" a="1"/>
  <c r="AL17" i="5" a="1"/>
  <c r="AM17" i="5" a="1"/>
  <c r="AB17" i="5" a="1"/>
  <c r="V17" i="5" a="1"/>
  <c r="W17" i="5" a="1"/>
  <c r="T17" i="5" a="1"/>
  <c r="L17" i="5" a="1"/>
  <c r="AR17" i="5" a="1"/>
  <c r="AY17" i="5" a="1"/>
  <c r="K17" i="5" a="1"/>
  <c r="AZ17" i="5" a="1"/>
  <c r="AJ17" i="5" a="1"/>
  <c r="Z17" i="5" a="1"/>
  <c r="O17" i="5" a="1"/>
  <c r="BB17" i="5" a="1"/>
  <c r="AO17" i="5" a="1"/>
  <c r="AS17" i="5" a="1"/>
  <c r="M17" i="5" a="1"/>
  <c r="H17" i="5" a="1"/>
  <c r="U17" i="5" a="1"/>
  <c r="J17" i="5" a="1"/>
  <c r="AG17" i="5" a="1"/>
  <c r="BC17" i="5" a="1"/>
  <c r="AC17" i="5" a="1"/>
  <c r="AF17" i="5" a="1"/>
  <c r="Y17" i="5" a="1"/>
  <c r="AT17" i="5" a="1"/>
  <c r="AI17" i="5" a="1"/>
  <c r="AN17" i="5" a="1"/>
  <c r="AK17" i="5" a="1"/>
  <c r="AX17" i="5" a="1"/>
  <c r="AV17" i="5" a="1"/>
  <c r="I17" i="5" a="1"/>
  <c r="D17" i="5" a="1"/>
  <c r="X17" i="5" a="1"/>
  <c r="AP17" i="5" a="1"/>
  <c r="BA17" i="5" a="1"/>
  <c r="R17" i="5" a="1"/>
  <c r="AQ17" i="5" a="1"/>
  <c r="E17" i="5" a="1"/>
  <c r="AH17" i="5" a="1"/>
  <c r="F17" i="5" a="1"/>
  <c r="Q17" i="5" a="1"/>
  <c r="N17" i="5" a="1"/>
  <c r="AU17" i="5" a="1"/>
  <c r="AE17" i="5" a="1"/>
  <c r="AD17" i="5" a="1"/>
  <c r="G17" i="5" a="1"/>
  <c r="AA17" i="5" a="1"/>
  <c r="S17" i="5" a="1"/>
  <c r="V17" i="5" l="1"/>
  <c r="P17" i="5"/>
  <c r="J17" i="5"/>
  <c r="U17" i="5"/>
  <c r="O17" i="5"/>
  <c r="I17" i="5"/>
  <c r="T17" i="5"/>
  <c r="N17" i="5"/>
  <c r="H17" i="5"/>
  <c r="S17" i="5"/>
  <c r="M17" i="5"/>
  <c r="G17" i="5"/>
  <c r="X17" i="5"/>
  <c r="R17" i="5"/>
  <c r="L17" i="5"/>
  <c r="F17" i="5"/>
  <c r="W17" i="5"/>
  <c r="Q17" i="5"/>
  <c r="K17" i="5"/>
  <c r="E17" i="5"/>
  <c r="BU34" i="5"/>
  <c r="BU38" i="5"/>
  <c r="BW20" i="5"/>
  <c r="BR19" i="5"/>
  <c r="BR26" i="5"/>
  <c r="BR38" i="5"/>
  <c r="BU19" i="5"/>
  <c r="BU26" i="5"/>
  <c r="BW19" i="5"/>
  <c r="BU36" i="5"/>
  <c r="BW22" i="5"/>
  <c r="BW25" i="5"/>
  <c r="BW31" i="5"/>
  <c r="BR39" i="5"/>
  <c r="BR51" i="5"/>
  <c r="BU4" i="5"/>
  <c r="BU10" i="5"/>
  <c r="BU14" i="5"/>
  <c r="BW18" i="5"/>
  <c r="BU32" i="5"/>
  <c r="BW48" i="5"/>
  <c r="BW12" i="5"/>
  <c r="BU16" i="5"/>
  <c r="BU18" i="5"/>
  <c r="BW38" i="5"/>
  <c r="BU42" i="5"/>
  <c r="BR31" i="5"/>
  <c r="BR33" i="5"/>
  <c r="BU9" i="5"/>
  <c r="BU41" i="5"/>
  <c r="BU31" i="5"/>
  <c r="BU52" i="5"/>
  <c r="BW9" i="5"/>
  <c r="BR16" i="5"/>
  <c r="BR42" i="5"/>
  <c r="BU5" i="5"/>
  <c r="BW44" i="5"/>
  <c r="BR50" i="5"/>
  <c r="BU30" i="5"/>
  <c r="BW4" i="5"/>
  <c r="BR5" i="5"/>
  <c r="BU11" i="5"/>
  <c r="BR13" i="5"/>
  <c r="BR15" i="5"/>
  <c r="BW27" i="5"/>
  <c r="BR41" i="5"/>
  <c r="BU44" i="5"/>
  <c r="BU48" i="5"/>
  <c r="BU50" i="5"/>
  <c r="BR52" i="5"/>
  <c r="BR30" i="5"/>
  <c r="BU39" i="5"/>
  <c r="BU13" i="5"/>
  <c r="BU15" i="5"/>
  <c r="BW29" i="5"/>
  <c r="BR32" i="5"/>
  <c r="BR17" i="5"/>
  <c r="BW39" i="5"/>
  <c r="BR43" i="5"/>
  <c r="BU29" i="5"/>
  <c r="BU54" i="5"/>
  <c r="BW14" i="5"/>
  <c r="BW21" i="5"/>
  <c r="BW40" i="5"/>
  <c r="BR10" i="5"/>
  <c r="BW13" i="5"/>
  <c r="BR29" i="5"/>
  <c r="BR55" i="5"/>
  <c r="BU8" i="5"/>
  <c r="BR14" i="5"/>
  <c r="BU17" i="5"/>
  <c r="BU20" i="5"/>
  <c r="BU33" i="5"/>
  <c r="BU40" i="5"/>
  <c r="BW11" i="5"/>
  <c r="BU22" i="5"/>
  <c r="BU25" i="5"/>
  <c r="BU28" i="5"/>
  <c r="BU53" i="5"/>
  <c r="BU55" i="5"/>
  <c r="BW16" i="5"/>
  <c r="BR20" i="5"/>
  <c r="BW33" i="5"/>
  <c r="BW8" i="5"/>
  <c r="BR25" i="5"/>
  <c r="BR28" i="5"/>
  <c r="BW43" i="5"/>
  <c r="BU49" i="5"/>
  <c r="BW10" i="5"/>
  <c r="BU27" i="5"/>
  <c r="BU7" i="5"/>
  <c r="BU12" i="5"/>
  <c r="BW26" i="5"/>
  <c r="BR44" i="5"/>
  <c r="BR9" i="5"/>
  <c r="BW42" i="5"/>
  <c r="BW50" i="5"/>
  <c r="BW52" i="5"/>
  <c r="N47" i="4"/>
  <c r="S48" i="4" a="1"/>
  <c r="S48" i="4" s="1"/>
  <c r="AL5" i="4"/>
  <c r="S46" i="4" a="1"/>
  <c r="S46" i="4" s="1"/>
  <c r="R34" i="4" a="1"/>
  <c r="R34" i="4" s="1"/>
  <c r="N42" i="4"/>
  <c r="Z59" i="4"/>
  <c r="R40" i="4" a="1"/>
  <c r="R40" i="4" s="1"/>
  <c r="J51" i="4"/>
  <c r="J3" i="4" s="1"/>
  <c r="I2" i="4" s="1"/>
  <c r="AL9" i="4"/>
  <c r="R32" i="4" a="1"/>
  <c r="R32" i="4" s="1"/>
  <c r="AI17" i="5"/>
  <c r="AA17" i="5"/>
  <c r="AM17" i="5"/>
  <c r="AY17" i="5"/>
  <c r="AB17" i="5"/>
  <c r="AN17" i="5"/>
  <c r="AZ17" i="5"/>
  <c r="AG17" i="5"/>
  <c r="AO17" i="5"/>
  <c r="AS17" i="5"/>
  <c r="AJ17" i="5"/>
  <c r="AV17" i="5"/>
  <c r="AT17" i="5"/>
  <c r="AW17" i="5"/>
  <c r="Z17" i="5"/>
  <c r="AL17" i="5"/>
  <c r="AX17" i="5"/>
  <c r="AU17" i="5"/>
  <c r="Y17" i="5"/>
  <c r="D17" i="5"/>
  <c r="AC17" i="5"/>
  <c r="BA17" i="5"/>
  <c r="AK17" i="5"/>
  <c r="AD17" i="5"/>
  <c r="AP17" i="5"/>
  <c r="BB17" i="5"/>
  <c r="AH17" i="5"/>
  <c r="AE17" i="5"/>
  <c r="AQ17" i="5"/>
  <c r="BC17" i="5"/>
  <c r="AF17" i="5"/>
  <c r="AR17" i="5"/>
  <c r="BW7" i="5"/>
  <c r="BR7" i="5"/>
  <c r="BW45" i="5"/>
  <c r="BR45" i="5"/>
  <c r="BW6" i="5"/>
  <c r="BR6" i="5"/>
  <c r="BW35" i="5"/>
  <c r="BR35" i="5"/>
  <c r="BW37" i="5"/>
  <c r="BR37" i="5"/>
  <c r="BU45" i="5"/>
  <c r="BR49" i="5"/>
  <c r="BW49" i="5"/>
  <c r="BU6" i="5"/>
  <c r="BU47" i="5"/>
  <c r="BU35" i="5"/>
  <c r="BU37" i="5"/>
  <c r="BW17" i="5"/>
  <c r="BW46" i="5"/>
  <c r="BR46" i="5"/>
  <c r="BW24" i="5"/>
  <c r="BR24" i="5"/>
  <c r="BW34" i="5"/>
  <c r="BR34" i="5"/>
  <c r="BW36" i="5"/>
  <c r="BR36" i="5"/>
  <c r="BW47" i="5"/>
  <c r="BR47" i="5"/>
  <c r="BR8" i="5"/>
  <c r="BU46" i="5"/>
  <c r="BU24" i="5"/>
  <c r="BR22" i="5"/>
  <c r="BR40" i="5"/>
  <c r="BR48" i="5"/>
  <c r="BR54" i="5"/>
  <c r="BR18" i="5"/>
  <c r="BR21" i="5"/>
  <c r="BR53" i="5"/>
  <c r="BU21" i="5"/>
  <c r="X51" i="4" a="1"/>
  <c r="X51" i="4" s="1"/>
  <c r="Y51" i="4" a="1"/>
  <c r="Y51" i="4" s="1"/>
  <c r="Y57" i="4"/>
  <c r="Y60" i="4"/>
  <c r="Y49" i="4" a="1"/>
  <c r="Y49" i="4" s="1"/>
  <c r="Z57" i="4"/>
  <c r="Z60" i="4"/>
  <c r="Y47" i="4" a="1"/>
  <c r="Y47" i="4" s="1"/>
  <c r="T48" i="4" a="1"/>
  <c r="T48" i="4" s="1"/>
  <c r="Z51" i="4" a="1"/>
  <c r="Z51" i="4" s="1"/>
  <c r="Y53" i="4"/>
  <c r="Y55" i="4"/>
  <c r="X46" i="4" a="1"/>
  <c r="X46" i="4" s="1"/>
  <c r="Z49" i="4" a="1"/>
  <c r="Z49" i="4" s="1"/>
  <c r="X50" i="4" a="1"/>
  <c r="X50" i="4" s="1"/>
  <c r="R51" i="4" a="1"/>
  <c r="R51" i="4" s="1"/>
  <c r="Z53" i="4"/>
  <c r="Z55" i="4"/>
  <c r="Y41" i="4" a="1"/>
  <c r="Y41" i="4" s="1"/>
  <c r="R42" i="4" a="1"/>
  <c r="R42" i="4" s="1"/>
  <c r="R44" i="4" a="1"/>
  <c r="R44" i="4" s="1"/>
  <c r="Z47" i="4" a="1"/>
  <c r="Z47" i="4" s="1"/>
  <c r="R49" i="4" a="1"/>
  <c r="R49" i="4" s="1"/>
  <c r="Y58" i="4"/>
  <c r="X43" i="4" a="1"/>
  <c r="X43" i="4" s="1"/>
  <c r="Y46" i="4" a="1"/>
  <c r="Y46" i="4" s="1"/>
  <c r="R47" i="4" a="1"/>
  <c r="R47" i="4" s="1"/>
  <c r="X48" i="4" a="1"/>
  <c r="X48" i="4" s="1"/>
  <c r="Y50" i="4" a="1"/>
  <c r="Y50" i="4" s="1"/>
  <c r="S51" i="4" a="1"/>
  <c r="S51" i="4" s="1"/>
  <c r="Z58" i="4"/>
  <c r="S49" i="4" a="1"/>
  <c r="S49" i="4" s="1"/>
  <c r="R6" i="4" a="1"/>
  <c r="R6" i="4" s="1"/>
  <c r="Y43" i="4" a="1"/>
  <c r="Y43" i="4" s="1"/>
  <c r="Z46" i="4" a="1"/>
  <c r="Z46" i="4" s="1"/>
  <c r="S47" i="4" a="1"/>
  <c r="S47" i="4" s="1"/>
  <c r="Y48" i="4" a="1"/>
  <c r="Y48" i="4" s="1"/>
  <c r="Z50" i="4" a="1"/>
  <c r="Z50" i="4" s="1"/>
  <c r="T51" i="4" a="1"/>
  <c r="T51" i="4" s="1"/>
  <c r="R46" i="4" a="1"/>
  <c r="R46" i="4" s="1"/>
  <c r="T49" i="4" a="1"/>
  <c r="T49" i="4" s="1"/>
  <c r="R50" i="4" a="1"/>
  <c r="R50" i="4" s="1"/>
  <c r="Y52" i="4"/>
  <c r="Y54" i="4"/>
  <c r="Y56" i="4"/>
  <c r="Y59" i="4"/>
  <c r="X36" i="4" a="1"/>
  <c r="X36" i="4" s="1"/>
  <c r="S41" i="4" a="1"/>
  <c r="S41" i="4" s="1"/>
  <c r="Z43" i="4" a="1"/>
  <c r="Z43" i="4" s="1"/>
  <c r="T47" i="4" a="1"/>
  <c r="T47" i="4" s="1"/>
  <c r="Z52" i="4"/>
  <c r="Z54" i="4"/>
  <c r="Z56" i="4"/>
  <c r="H19" i="5" l="1" a="1"/>
  <c r="H19" i="5" s="1"/>
  <c r="E4" i="5" s="1"/>
  <c r="H20" i="5" a="1"/>
  <c r="H20" i="5" s="1"/>
  <c r="H18" i="5" a="1"/>
  <c r="H18" i="5" s="1"/>
  <c r="H21" i="5" a="1"/>
  <c r="H21" i="5" s="1"/>
  <c r="Q20" i="5" a="1"/>
  <c r="Q20" i="5" s="1"/>
  <c r="U10" i="5" s="1"/>
  <c r="Q18" i="5" a="1"/>
  <c r="Q18" i="5" s="1"/>
  <c r="Q21" i="5" a="1"/>
  <c r="Q21" i="5" s="1"/>
  <c r="Q19" i="5" a="1"/>
  <c r="Q19" i="5" s="1"/>
  <c r="S10" i="5" s="1"/>
  <c r="I18" i="5" a="1"/>
  <c r="I18" i="5" s="1"/>
  <c r="I21" i="5" a="1"/>
  <c r="I21" i="5" s="1"/>
  <c r="I19" i="5" a="1"/>
  <c r="I19" i="5" s="1"/>
  <c r="F7" i="5" s="1"/>
  <c r="I20" i="5" a="1"/>
  <c r="I20" i="5" s="1"/>
  <c r="E20" i="5" a="1"/>
  <c r="E20" i="5" s="1"/>
  <c r="E18" i="5" a="1"/>
  <c r="E18" i="5" s="1"/>
  <c r="E21" i="5" a="1"/>
  <c r="E21" i="5" s="1"/>
  <c r="E19" i="5" a="1"/>
  <c r="E19" i="5" s="1"/>
  <c r="B3" i="5" s="1"/>
  <c r="T19" i="5" a="1"/>
  <c r="T19" i="5" s="1"/>
  <c r="T20" i="5" a="1"/>
  <c r="T20" i="5" s="1"/>
  <c r="T6" i="5" s="1"/>
  <c r="T18" i="5" a="1"/>
  <c r="T18" i="5" s="1"/>
  <c r="R6" i="5" s="1"/>
  <c r="T21" i="5" a="1"/>
  <c r="T21" i="5" s="1"/>
  <c r="W20" i="5" a="1"/>
  <c r="W20" i="5" s="1"/>
  <c r="S12" i="5" s="1"/>
  <c r="W18" i="5" a="1"/>
  <c r="W18" i="5" s="1"/>
  <c r="W21" i="5" a="1"/>
  <c r="W21" i="5" s="1"/>
  <c r="W19" i="5" a="1"/>
  <c r="W19" i="5" s="1"/>
  <c r="Q12" i="5" s="1"/>
  <c r="O18" i="5" a="1"/>
  <c r="O18" i="5" s="1"/>
  <c r="AF12" i="5" s="1"/>
  <c r="O21" i="5" a="1"/>
  <c r="O21" i="5" s="1"/>
  <c r="O19" i="5" a="1"/>
  <c r="O19" i="5" s="1"/>
  <c r="O20" i="5" a="1"/>
  <c r="O20" i="5" s="1"/>
  <c r="AH12" i="5" s="1"/>
  <c r="L20" i="5" a="1"/>
  <c r="L20" i="5" s="1"/>
  <c r="L18" i="5" a="1"/>
  <c r="L18" i="5" s="1"/>
  <c r="L21" i="5" a="1"/>
  <c r="L21" i="5" s="1"/>
  <c r="L19" i="5" a="1"/>
  <c r="L19" i="5" s="1"/>
  <c r="I7" i="5" s="1"/>
  <c r="J18" i="5" a="1"/>
  <c r="J18" i="5" s="1"/>
  <c r="J21" i="5" a="1"/>
  <c r="J21" i="5" s="1"/>
  <c r="J19" i="5" a="1"/>
  <c r="J19" i="5" s="1"/>
  <c r="G10" i="5" s="1"/>
  <c r="J20" i="5" a="1"/>
  <c r="J20" i="5" s="1"/>
  <c r="G19" i="5" a="1"/>
  <c r="G19" i="5" s="1"/>
  <c r="D10" i="5" s="1"/>
  <c r="G20" i="5" a="1"/>
  <c r="G20" i="5" s="1"/>
  <c r="G18" i="5" a="1"/>
  <c r="G18" i="5" s="1"/>
  <c r="G21" i="5" a="1"/>
  <c r="G21" i="5" s="1"/>
  <c r="M19" i="5" a="1"/>
  <c r="M19" i="5" s="1"/>
  <c r="I6" i="5" s="1"/>
  <c r="M20" i="5" a="1"/>
  <c r="M20" i="5" s="1"/>
  <c r="M18" i="5" a="1"/>
  <c r="M18" i="5" s="1"/>
  <c r="M21" i="5" a="1"/>
  <c r="M21" i="5" s="1"/>
  <c r="N19" i="5" a="1"/>
  <c r="N19" i="5" s="1"/>
  <c r="J10" i="5" s="1"/>
  <c r="N20" i="5" a="1"/>
  <c r="N20" i="5" s="1"/>
  <c r="N18" i="5" a="1"/>
  <c r="N18" i="5" s="1"/>
  <c r="N21" i="5" a="1"/>
  <c r="N21" i="5" s="1"/>
  <c r="U18" i="5" a="1"/>
  <c r="U18" i="5" s="1"/>
  <c r="S9" i="5" s="1"/>
  <c r="U21" i="5" a="1"/>
  <c r="U21" i="5" s="1"/>
  <c r="U19" i="5" a="1"/>
  <c r="U19" i="5" s="1"/>
  <c r="U20" i="5" a="1"/>
  <c r="U20" i="5" s="1"/>
  <c r="U9" i="5" s="1"/>
  <c r="R20" i="5" a="1"/>
  <c r="R20" i="5" s="1"/>
  <c r="V13" i="5" s="1"/>
  <c r="R18" i="5" a="1"/>
  <c r="R18" i="5" s="1"/>
  <c r="T13" i="5" s="1"/>
  <c r="R21" i="5" a="1"/>
  <c r="R21" i="5" s="1"/>
  <c r="R19" i="5" a="1"/>
  <c r="R19" i="5" s="1"/>
  <c r="P18" i="5" a="1"/>
  <c r="P18" i="5" s="1"/>
  <c r="P21" i="5" a="1"/>
  <c r="P21" i="5" s="1"/>
  <c r="P19" i="5" a="1"/>
  <c r="P19" i="5" s="1"/>
  <c r="R7" i="5" s="1"/>
  <c r="P20" i="5" a="1"/>
  <c r="P20" i="5" s="1"/>
  <c r="S19" i="5" a="1"/>
  <c r="S19" i="5" s="1"/>
  <c r="Q13" i="5" s="1"/>
  <c r="S20" i="5" a="1"/>
  <c r="S20" i="5" s="1"/>
  <c r="S13" i="5" s="1"/>
  <c r="S18" i="5" a="1"/>
  <c r="S18" i="5" s="1"/>
  <c r="S21" i="5" a="1"/>
  <c r="S21" i="5" s="1"/>
  <c r="K20" i="5" a="1"/>
  <c r="K20" i="5" s="1"/>
  <c r="K18" i="5" a="1"/>
  <c r="K18" i="5" s="1"/>
  <c r="K21" i="5" a="1"/>
  <c r="K21" i="5" s="1"/>
  <c r="K19" i="5" a="1"/>
  <c r="K19" i="5" s="1"/>
  <c r="H13" i="5" s="1"/>
  <c r="F20" i="5" a="1"/>
  <c r="F20" i="5" s="1"/>
  <c r="F18" i="5" a="1"/>
  <c r="F18" i="5" s="1"/>
  <c r="F21" i="5" a="1"/>
  <c r="F21" i="5" s="1"/>
  <c r="F19" i="5" a="1"/>
  <c r="F19" i="5" s="1"/>
  <c r="C7" i="5" s="1"/>
  <c r="X20" i="5" a="1"/>
  <c r="X20" i="5" s="1"/>
  <c r="X18" i="5" a="1"/>
  <c r="X18" i="5" s="1"/>
  <c r="X21" i="5" a="1"/>
  <c r="X21" i="5" s="1"/>
  <c r="X19" i="5" a="1"/>
  <c r="X19" i="5" s="1"/>
  <c r="K13" i="5" s="1"/>
  <c r="V18" i="5" a="1"/>
  <c r="V18" i="5" s="1"/>
  <c r="T12" i="5" s="1"/>
  <c r="V21" i="5" a="1"/>
  <c r="V21" i="5" s="1"/>
  <c r="V19" i="5" a="1"/>
  <c r="V19" i="5" s="1"/>
  <c r="V20" i="5" a="1"/>
  <c r="V20" i="5" s="1"/>
  <c r="V12" i="5" s="1"/>
  <c r="BC20" i="5" a="1"/>
  <c r="BC20" i="5" s="1"/>
  <c r="BC19" i="5" a="1"/>
  <c r="BC19" i="5" s="1"/>
  <c r="BC21" i="5" a="1"/>
  <c r="BC21" i="5" s="1"/>
  <c r="BC18" i="5" a="1"/>
  <c r="BC18" i="5" s="1"/>
  <c r="AZ19" i="5" a="1"/>
  <c r="AZ19" i="5" s="1"/>
  <c r="AZ21" i="5" a="1"/>
  <c r="AZ21" i="5" s="1"/>
  <c r="AZ18" i="5" a="1"/>
  <c r="AZ18" i="5" s="1"/>
  <c r="AZ20" i="5" a="1"/>
  <c r="AZ20" i="5" s="1"/>
  <c r="AK20" i="5" a="1"/>
  <c r="AK20" i="5" s="1"/>
  <c r="AB4" i="5" s="1"/>
  <c r="AK21" i="5" a="1"/>
  <c r="AK21" i="5" s="1"/>
  <c r="AK18" i="5" a="1"/>
  <c r="AK18" i="5" s="1"/>
  <c r="AK19" i="5" a="1"/>
  <c r="AK19" i="5" s="1"/>
  <c r="Z4" i="5" s="1"/>
  <c r="AN19" i="5" a="1"/>
  <c r="AN19" i="5" s="1"/>
  <c r="AN21" i="5" a="1"/>
  <c r="AN21" i="5" s="1"/>
  <c r="AN18" i="5" a="1"/>
  <c r="AN18" i="5" s="1"/>
  <c r="AB9" i="5" s="1"/>
  <c r="AN20" i="5" a="1"/>
  <c r="AN20" i="5" s="1"/>
  <c r="AD9" i="5" s="1"/>
  <c r="AC21" i="5" a="1"/>
  <c r="AC21" i="5" s="1"/>
  <c r="AC18" i="5" a="1"/>
  <c r="AC18" i="5" s="1"/>
  <c r="AC20" i="5" a="1"/>
  <c r="AC20" i="5" s="1"/>
  <c r="Y4" i="5" s="1"/>
  <c r="AC19" i="5" a="1"/>
  <c r="AC19" i="5" s="1"/>
  <c r="W4" i="5" s="1"/>
  <c r="AJ21" i="5" a="1"/>
  <c r="AJ21" i="5" s="1"/>
  <c r="AJ18" i="5" a="1"/>
  <c r="AJ18" i="5" s="1"/>
  <c r="AJ20" i="5" a="1"/>
  <c r="AJ20" i="5" s="1"/>
  <c r="AE4" i="5" s="1"/>
  <c r="AJ19" i="5" a="1"/>
  <c r="AJ19" i="5" s="1"/>
  <c r="AC4" i="5" s="1"/>
  <c r="E35" i="5"/>
  <c r="E26" i="5"/>
  <c r="D21" i="5" a="1"/>
  <c r="D21" i="5" s="1"/>
  <c r="D18" i="5" a="1"/>
  <c r="D18" i="5" s="1"/>
  <c r="D20" i="5" a="1"/>
  <c r="D20" i="5" s="1"/>
  <c r="D19" i="5" a="1"/>
  <c r="D19" i="5" s="1"/>
  <c r="AY19" i="5" a="1"/>
  <c r="AY19" i="5" s="1"/>
  <c r="AY20" i="5" a="1"/>
  <c r="AY20" i="5" s="1"/>
  <c r="AY21" i="5" a="1"/>
  <c r="AY21" i="5" s="1"/>
  <c r="AY18" i="5" a="1"/>
  <c r="AY18" i="5" s="1"/>
  <c r="AH19" i="5" a="1"/>
  <c r="AH19" i="5" s="1"/>
  <c r="AH21" i="5" a="1"/>
  <c r="AH21" i="5" s="1"/>
  <c r="AH18" i="5" a="1"/>
  <c r="AH18" i="5" s="1"/>
  <c r="X6" i="5" s="1"/>
  <c r="AH20" i="5" a="1"/>
  <c r="AH20" i="5" s="1"/>
  <c r="Z6" i="5" s="1"/>
  <c r="Y20" i="5" a="1"/>
  <c r="Y20" i="5" s="1"/>
  <c r="W7" i="5" s="1"/>
  <c r="Y18" i="5" a="1"/>
  <c r="Y18" i="5" s="1"/>
  <c r="Y19" i="5" a="1"/>
  <c r="Y19" i="5" s="1"/>
  <c r="U7" i="5" s="1"/>
  <c r="Y21" i="5" a="1"/>
  <c r="Y21" i="5" s="1"/>
  <c r="AM19" i="5" a="1"/>
  <c r="AM19" i="5" s="1"/>
  <c r="AB10" i="5" s="1"/>
  <c r="AM21" i="5" a="1"/>
  <c r="AM21" i="5" s="1"/>
  <c r="AM20" i="5" a="1"/>
  <c r="AM20" i="5" s="1"/>
  <c r="AD10" i="5" s="1"/>
  <c r="AM18" i="5" a="1"/>
  <c r="AM18" i="5" s="1"/>
  <c r="AV21" i="5" a="1"/>
  <c r="AV21" i="5" s="1"/>
  <c r="AV18" i="5" a="1"/>
  <c r="AV18" i="5" s="1"/>
  <c r="AV20" i="5" a="1"/>
  <c r="AV20" i="5" s="1"/>
  <c r="AF7" i="5" s="1"/>
  <c r="AV19" i="5" a="1"/>
  <c r="AV19" i="5" s="1"/>
  <c r="AD7" i="5" s="1"/>
  <c r="AU21" i="5" a="1"/>
  <c r="AU21" i="5" s="1"/>
  <c r="AU18" i="5" a="1"/>
  <c r="AU18" i="5" s="1"/>
  <c r="W13" i="5" s="1"/>
  <c r="Y13" i="5"/>
  <c r="AU20" i="5" a="1"/>
  <c r="AU20" i="5" s="1"/>
  <c r="AU19" i="5" a="1"/>
  <c r="AU19" i="5" s="1"/>
  <c r="AS19" i="5" a="1"/>
  <c r="AS19" i="5" s="1"/>
  <c r="AA7" i="5" s="1"/>
  <c r="AS18" i="5" a="1"/>
  <c r="AS18" i="5" s="1"/>
  <c r="AS21" i="5" a="1"/>
  <c r="AS21" i="5" s="1"/>
  <c r="AS20" i="5" a="1"/>
  <c r="AS20" i="5" s="1"/>
  <c r="AC7" i="5" s="1"/>
  <c r="AA19" i="5" a="1"/>
  <c r="AA19" i="5" s="1"/>
  <c r="V10" i="5" s="1"/>
  <c r="AA20" i="5" a="1"/>
  <c r="AA20" i="5" s="1"/>
  <c r="X10" i="5" s="1"/>
  <c r="AA21" i="5" a="1"/>
  <c r="AA21" i="5" s="1"/>
  <c r="AA18" i="5" a="1"/>
  <c r="AA18" i="5" s="1"/>
  <c r="AW20" i="5" a="1"/>
  <c r="AW20" i="5" s="1"/>
  <c r="AH4" i="5" s="1"/>
  <c r="AW18" i="5" a="1"/>
  <c r="AW18" i="5" s="1"/>
  <c r="AF4" i="5" s="1"/>
  <c r="AW19" i="5" a="1"/>
  <c r="AW19" i="5" s="1"/>
  <c r="AW21" i="5" a="1"/>
  <c r="AW21" i="5" s="1"/>
  <c r="BA21" i="5" a="1"/>
  <c r="BA21" i="5" s="1"/>
  <c r="BA18" i="5" a="1"/>
  <c r="BA18" i="5" s="1"/>
  <c r="BA20" i="5" a="1"/>
  <c r="BA20" i="5" s="1"/>
  <c r="BA19" i="5" a="1"/>
  <c r="BA19" i="5" s="1"/>
  <c r="AX20" i="5" a="1"/>
  <c r="AX20" i="5" s="1"/>
  <c r="AX19" i="5" a="1"/>
  <c r="AX19" i="5" s="1"/>
  <c r="AX18" i="5" a="1"/>
  <c r="AX18" i="5" s="1"/>
  <c r="AX21" i="5" a="1"/>
  <c r="AX21" i="5" s="1"/>
  <c r="AQ20" i="5" a="1"/>
  <c r="AQ20" i="5" s="1"/>
  <c r="AG9" i="5" s="1"/>
  <c r="AQ18" i="5" a="1"/>
  <c r="AQ18" i="5" s="1"/>
  <c r="AE9" i="5" s="1"/>
  <c r="AQ19" i="5" a="1"/>
  <c r="AQ19" i="5" s="1"/>
  <c r="AQ21" i="5" a="1"/>
  <c r="AQ21" i="5" s="1"/>
  <c r="AE20" i="5" a="1"/>
  <c r="AE20" i="5" s="1"/>
  <c r="AB13" i="5" s="1"/>
  <c r="AE19" i="5" a="1"/>
  <c r="AE19" i="5" s="1"/>
  <c r="Z13" i="5" s="1"/>
  <c r="AE21" i="5" a="1"/>
  <c r="AE21" i="5" s="1"/>
  <c r="AE18" i="5" a="1"/>
  <c r="AE18" i="5" s="1"/>
  <c r="AR20" i="5" a="1"/>
  <c r="AR20" i="5" s="1"/>
  <c r="AG10" i="5" s="1"/>
  <c r="AR19" i="5" a="1"/>
  <c r="AR19" i="5" s="1"/>
  <c r="AE10" i="5" s="1"/>
  <c r="AR18" i="5" a="1"/>
  <c r="AR18" i="5" s="1"/>
  <c r="AR21" i="5" a="1"/>
  <c r="AR21" i="5" s="1"/>
  <c r="AP21" i="5" a="1"/>
  <c r="AP21" i="5" s="1"/>
  <c r="AP18" i="5" a="1"/>
  <c r="AP18" i="5" s="1"/>
  <c r="AP20" i="5" a="1"/>
  <c r="AP20" i="5" s="1"/>
  <c r="F9" i="5" s="1"/>
  <c r="AP19" i="5" a="1"/>
  <c r="AP19" i="5" s="1"/>
  <c r="AL20" i="5" a="1"/>
  <c r="AL20" i="5" s="1"/>
  <c r="AB3" i="5" s="1"/>
  <c r="AL19" i="5" a="1"/>
  <c r="AL19" i="5" s="1"/>
  <c r="AL21" i="5" a="1"/>
  <c r="AL21" i="5" s="1"/>
  <c r="AL18" i="5" a="1"/>
  <c r="AL18" i="5" s="1"/>
  <c r="Z3" i="5" s="1"/>
  <c r="AG19" i="5" a="1"/>
  <c r="AG19" i="5" s="1"/>
  <c r="X7" i="5" s="1"/>
  <c r="AG20" i="5" a="1"/>
  <c r="AG20" i="5" s="1"/>
  <c r="Z7" i="5" s="1"/>
  <c r="AG21" i="5" a="1"/>
  <c r="AG21" i="5" s="1"/>
  <c r="AG18" i="5" a="1"/>
  <c r="AG18" i="5" s="1"/>
  <c r="BB21" i="5" a="1"/>
  <c r="BB21" i="5" s="1"/>
  <c r="BB18" i="5" a="1"/>
  <c r="BB18" i="5" s="1"/>
  <c r="BB20" i="5" a="1"/>
  <c r="BB20" i="5" s="1"/>
  <c r="BB19" i="5" a="1"/>
  <c r="BB19" i="5" s="1"/>
  <c r="AF20" i="5" a="1"/>
  <c r="AF20" i="5" s="1"/>
  <c r="AB12" i="5" s="1"/>
  <c r="AF19" i="5" a="1"/>
  <c r="AF19" i="5" s="1"/>
  <c r="AF21" i="5" a="1"/>
  <c r="AF21" i="5" s="1"/>
  <c r="AF18" i="5" a="1"/>
  <c r="AF18" i="5" s="1"/>
  <c r="Z12" i="5" s="1"/>
  <c r="AD21" i="5" a="1"/>
  <c r="AD21" i="5" s="1"/>
  <c r="AD18" i="5" a="1"/>
  <c r="AD18" i="5" s="1"/>
  <c r="W3" i="5" s="1"/>
  <c r="AD20" i="5" a="1"/>
  <c r="AD20" i="5" s="1"/>
  <c r="Y3" i="5" s="1"/>
  <c r="AD19" i="5" a="1"/>
  <c r="AD19" i="5" s="1"/>
  <c r="Z20" i="5" a="1"/>
  <c r="Z20" i="5" s="1"/>
  <c r="W6" i="5" s="1"/>
  <c r="Z19" i="5" a="1"/>
  <c r="Z19" i="5" s="1"/>
  <c r="Z18" i="5" a="1"/>
  <c r="Z18" i="5" s="1"/>
  <c r="U6" i="5" s="1"/>
  <c r="Z21" i="5" a="1"/>
  <c r="Z21" i="5" s="1"/>
  <c r="AO21" i="5" a="1"/>
  <c r="AO21" i="5" s="1"/>
  <c r="AO18" i="5" a="1"/>
  <c r="AO18" i="5" s="1"/>
  <c r="AA6" i="5" s="1"/>
  <c r="AO20" i="5" a="1"/>
  <c r="AO20" i="5" s="1"/>
  <c r="AC6" i="5" s="1"/>
  <c r="AO19" i="5" a="1"/>
  <c r="AO19" i="5" s="1"/>
  <c r="AI21" i="5" a="1"/>
  <c r="AI21" i="5" s="1"/>
  <c r="AI18" i="5" a="1"/>
  <c r="AI18" i="5" s="1"/>
  <c r="AI20" i="5" a="1"/>
  <c r="AI20" i="5" s="1"/>
  <c r="AA10" i="5" s="1"/>
  <c r="AI19" i="5" a="1"/>
  <c r="AI19" i="5" s="1"/>
  <c r="Y10" i="5" s="1"/>
  <c r="AT19" i="5" a="1"/>
  <c r="AT19" i="5" s="1"/>
  <c r="AT21" i="5" a="1"/>
  <c r="AT21" i="5" s="1"/>
  <c r="AT18" i="5" a="1"/>
  <c r="AT18" i="5" s="1"/>
  <c r="AF13" i="5" s="1"/>
  <c r="AT20" i="5" a="1"/>
  <c r="AT20" i="5" s="1"/>
  <c r="AH13" i="5" s="1"/>
  <c r="AB19" i="5" a="1"/>
  <c r="AB19" i="5" s="1"/>
  <c r="AB21" i="5" a="1"/>
  <c r="AB21" i="5" s="1"/>
  <c r="AB18" i="5" a="1"/>
  <c r="AB18" i="5" s="1"/>
  <c r="V9" i="5" s="1"/>
  <c r="AB20" i="5" a="1"/>
  <c r="AB20" i="5" s="1"/>
  <c r="X9" i="5" s="1"/>
  <c r="AN37" i="5" l="1"/>
  <c r="AM37" i="5"/>
  <c r="D35" i="5"/>
  <c r="AL39" i="5"/>
  <c r="AM39" i="5" s="1"/>
  <c r="AN39" i="5" s="1"/>
  <c r="AO39" i="5" s="1"/>
  <c r="AP39" i="5" s="1"/>
  <c r="AQ39" i="5" s="1"/>
  <c r="AM42" i="5" s="1"/>
  <c r="E39" i="5"/>
  <c r="AP37" i="5"/>
  <c r="AQ37" i="5"/>
  <c r="AO37" i="5"/>
  <c r="M23" i="5"/>
  <c r="E25" i="5"/>
  <c r="E45" i="5"/>
  <c r="D26" i="5"/>
  <c r="E30" i="5"/>
  <c r="D30" i="5" s="1"/>
  <c r="M13" i="5"/>
  <c r="T7" i="5"/>
  <c r="E36" i="5"/>
  <c r="B4" i="5"/>
  <c r="E46" i="5"/>
  <c r="D46" i="5" s="1"/>
  <c r="B47" i="5" l="1"/>
  <c r="D45" i="5"/>
  <c r="D36" i="5"/>
  <c r="AP38" i="5"/>
  <c r="AQ38" i="5"/>
  <c r="AO38" i="5"/>
  <c r="AM38" i="5"/>
  <c r="AL40" i="5"/>
  <c r="AN38" i="5"/>
  <c r="B37" i="5"/>
  <c r="B27" i="5"/>
  <c r="D25" i="5"/>
  <c r="E29" i="5"/>
  <c r="D39" i="5"/>
  <c r="AM40" i="5" l="1"/>
  <c r="B31" i="5"/>
  <c r="D29" i="5"/>
  <c r="AN40" i="5" l="1"/>
  <c r="AO40" i="5" s="1"/>
  <c r="AP40" i="5" s="1"/>
  <c r="AQ40" i="5" s="1"/>
  <c r="AM43" i="5" s="1"/>
  <c r="E40" i="5" l="1"/>
  <c r="D40" i="5" l="1"/>
  <c r="B41" i="5"/>
  <c r="AG5" i="1" l="1"/>
  <c r="AG12" i="1"/>
  <c r="AG14" i="1"/>
  <c r="AG13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A48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W2" i="3" l="1"/>
  <c r="X2" i="3"/>
  <c r="Y2" i="3"/>
  <c r="Z2" i="3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L2" i="3" s="1"/>
  <c r="BM2" i="3" s="1"/>
  <c r="BN2" i="3" s="1"/>
  <c r="BO2" i="3" s="1"/>
  <c r="BP2" i="3" s="1"/>
  <c r="BQ2" i="3" s="1"/>
  <c r="BR2" i="3" s="1"/>
  <c r="BS2" i="3" s="1"/>
  <c r="BT2" i="3" s="1"/>
  <c r="BU2" i="3" s="1"/>
  <c r="BV2" i="3" s="1"/>
  <c r="BW2" i="3" s="1"/>
  <c r="BX2" i="3" s="1"/>
  <c r="B4" i="3"/>
  <c r="H4" i="3"/>
  <c r="N4" i="3"/>
  <c r="B5" i="3"/>
  <c r="H5" i="3"/>
  <c r="N5" i="3"/>
  <c r="B6" i="3"/>
  <c r="H6" i="3"/>
  <c r="N6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H7" i="3"/>
  <c r="H8" i="3" s="1"/>
  <c r="H9" i="3" s="1"/>
  <c r="H10" i="3" s="1"/>
  <c r="H11" i="3" s="1"/>
  <c r="H12" i="3" s="1"/>
  <c r="H13" i="3" s="1"/>
  <c r="H14" i="3" s="1"/>
  <c r="H15" i="3" s="1"/>
  <c r="H16" i="3" s="1"/>
  <c r="H17" i="3" s="1"/>
  <c r="H18" i="3" s="1"/>
  <c r="N7" i="3"/>
  <c r="N8" i="3" s="1"/>
  <c r="N9" i="3" s="1"/>
  <c r="N10" i="3" s="1"/>
  <c r="N11" i="3" s="1"/>
  <c r="N12" i="3" s="1"/>
  <c r="H24" i="3"/>
  <c r="H25" i="3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J25" i="3"/>
  <c r="J26" i="3"/>
  <c r="J27" i="3"/>
  <c r="J29" i="3"/>
  <c r="J42" i="3"/>
  <c r="H43" i="3"/>
  <c r="H44" i="3" s="1"/>
  <c r="H45" i="3" s="1"/>
  <c r="J43" i="3"/>
  <c r="J44" i="3"/>
  <c r="J45" i="3"/>
  <c r="J50" i="3"/>
  <c r="H51" i="3"/>
  <c r="H52" i="3" s="1"/>
  <c r="H53" i="3" s="1"/>
  <c r="H54" i="3" s="1"/>
  <c r="H55" i="3" s="1"/>
  <c r="J51" i="3"/>
  <c r="J52" i="3"/>
  <c r="J53" i="3"/>
  <c r="J54" i="3"/>
  <c r="J55" i="3"/>
  <c r="J60" i="3"/>
  <c r="H61" i="3"/>
  <c r="H62" i="3" s="1"/>
  <c r="H63" i="3" s="1"/>
  <c r="H64" i="3" s="1"/>
  <c r="H65" i="3" s="1"/>
  <c r="J61" i="3"/>
  <c r="J62" i="3"/>
  <c r="J63" i="3"/>
  <c r="J64" i="3"/>
  <c r="J65" i="3"/>
  <c r="J66" i="3"/>
  <c r="J71" i="3"/>
  <c r="H72" i="3"/>
  <c r="J72" i="3"/>
  <c r="W6" i="3" a="1"/>
  <c r="BE3" i="3" a="1"/>
  <c r="AF3" i="3" a="1"/>
  <c r="AY3" i="3" a="1"/>
  <c r="Y6" i="3" a="1"/>
  <c r="AX6" i="3" a="1"/>
  <c r="AM6" i="3" a="1"/>
  <c r="BS6" i="3" a="1"/>
  <c r="AY6" i="3" a="1"/>
  <c r="AW5" i="3" a="1"/>
  <c r="BJ6" i="3" a="1"/>
  <c r="AZ6" i="3" a="1"/>
  <c r="BV6" i="3" a="1"/>
  <c r="BM6" i="3" a="1"/>
  <c r="BB3" i="3" a="1"/>
  <c r="AD5" i="3" a="1"/>
  <c r="BA3" i="3" a="1"/>
  <c r="BH5" i="3" a="1"/>
  <c r="AS6" i="3" a="1"/>
  <c r="BM4" i="3" a="1"/>
  <c r="AP5" i="3" a="1"/>
  <c r="AD3" i="3" a="1"/>
  <c r="BC3" i="3" a="1"/>
  <c r="AA5" i="3" a="1"/>
  <c r="AV3" i="3" a="1"/>
  <c r="AU4" i="3" a="1"/>
  <c r="V4" i="3" a="1"/>
  <c r="BA5" i="3" a="1"/>
  <c r="BO5" i="3" a="1"/>
  <c r="X5" i="3" a="1"/>
  <c r="AG6" i="3" a="1"/>
  <c r="AF5" i="3" a="1"/>
  <c r="AA3" i="3" a="1"/>
  <c r="BB4" i="3" a="1"/>
  <c r="BU6" i="3" a="1"/>
  <c r="AL4" i="3" a="1"/>
  <c r="AQ4" i="3" a="1"/>
  <c r="AY4" i="3" a="1"/>
  <c r="BL4" i="3" a="1"/>
  <c r="BE6" i="3" a="1"/>
  <c r="BF3" i="3" a="1"/>
  <c r="AM4" i="3" a="1"/>
  <c r="AZ4" i="3" a="1"/>
  <c r="AS4" i="3" a="1"/>
  <c r="AL6" i="3" a="1"/>
  <c r="AO5" i="3" a="1"/>
  <c r="AH5" i="3" a="1"/>
  <c r="AQ5" i="3" a="1"/>
  <c r="BO3" i="3" a="1"/>
  <c r="BA6" i="3" a="1"/>
  <c r="BP6" i="3" a="1"/>
  <c r="BV4" i="3" a="1"/>
  <c r="BK5" i="3" a="1"/>
  <c r="AZ5" i="3" a="1"/>
  <c r="AD4" i="3" a="1"/>
  <c r="AK6" i="3" a="1"/>
  <c r="AR3" i="3" a="1"/>
  <c r="X6" i="3" a="1"/>
  <c r="AC4" i="3" a="1"/>
  <c r="BG4" i="3" a="1"/>
  <c r="AM3" i="3" a="1"/>
  <c r="X4" i="3" a="1"/>
  <c r="AE5" i="3" a="1"/>
  <c r="BN6" i="3" a="1"/>
  <c r="BS4" i="3" a="1"/>
  <c r="BH3" i="3" a="1"/>
  <c r="AO3" i="3" a="1"/>
  <c r="BI6" i="3" a="1"/>
  <c r="Z5" i="3" a="1"/>
  <c r="AG3" i="3" a="1"/>
  <c r="BK4" i="3" a="1"/>
  <c r="AX3" i="3" a="1"/>
  <c r="AE6" i="3" a="1"/>
  <c r="BD4" i="3" a="1"/>
  <c r="BW3" i="3" a="1"/>
  <c r="BI5" i="3" a="1"/>
  <c r="W4" i="3" a="1"/>
  <c r="V3" i="3" a="1"/>
  <c r="BA4" i="3" a="1"/>
  <c r="Y5" i="3" a="1"/>
  <c r="Z3" i="3" a="1"/>
  <c r="BU3" i="3" a="1"/>
  <c r="AB6" i="3" a="1"/>
  <c r="BE5" i="3" a="1"/>
  <c r="Y3" i="3" a="1"/>
  <c r="AH4" i="3" a="1"/>
  <c r="V6" i="3" a="1"/>
  <c r="AU6" i="3" a="1"/>
  <c r="BP5" i="3" a="1"/>
  <c r="AL5" i="3" a="1"/>
  <c r="BN3" i="3" a="1"/>
  <c r="AP4" i="3" a="1"/>
  <c r="AO6" i="3" a="1"/>
  <c r="AU3" i="3" a="1"/>
  <c r="AJ3" i="3" a="1"/>
  <c r="AP3" i="3" a="1"/>
  <c r="AB4" i="3" a="1"/>
  <c r="BD3" i="3" a="1"/>
  <c r="AB5" i="3" a="1"/>
  <c r="BW4" i="3" a="1"/>
  <c r="AG5" i="3" a="1"/>
  <c r="AC5" i="3" a="1"/>
  <c r="AB3" i="3" a="1"/>
  <c r="BW5" i="3" a="1"/>
  <c r="BR5" i="3" a="1"/>
  <c r="AV6" i="3" a="1"/>
  <c r="AN5" i="3" a="1"/>
  <c r="BT6" i="3" a="1"/>
  <c r="BU5" i="3" a="1"/>
  <c r="AQ6" i="3" a="1"/>
  <c r="BK3" i="3" a="1"/>
  <c r="BX5" i="3" a="1"/>
  <c r="AH3" i="3" a="1"/>
  <c r="BH4" i="3" a="1"/>
  <c r="BR3" i="3" a="1"/>
  <c r="AY5" i="3" a="1"/>
  <c r="AL3" i="3" a="1"/>
  <c r="BT4" i="3" a="1"/>
  <c r="BF4" i="3" a="1"/>
  <c r="BR4" i="3" a="1"/>
  <c r="AJ5" i="3" a="1"/>
  <c r="BI3" i="3" a="1"/>
  <c r="AJ4" i="3" a="1"/>
  <c r="V5" i="3" a="1"/>
  <c r="BG6" i="3" a="1"/>
  <c r="AC6" i="3" a="1"/>
  <c r="AF6" i="3" a="1"/>
  <c r="BD6" i="3" a="1"/>
  <c r="AN4" i="3" a="1"/>
  <c r="AP6" i="3" a="1"/>
  <c r="AS5" i="3" a="1"/>
  <c r="AU5" i="3" a="1"/>
  <c r="AG4" i="3" a="1"/>
  <c r="AC3" i="3" a="1"/>
  <c r="BO6" i="3" a="1"/>
  <c r="AI5" i="3" a="1"/>
  <c r="BX6" i="3" a="1"/>
  <c r="AT4" i="3" a="1"/>
  <c r="Z4" i="3" a="1"/>
  <c r="BO4" i="3" a="1"/>
  <c r="AR4" i="3" a="1"/>
  <c r="AV5" i="3" a="1"/>
  <c r="X3" i="3" a="1"/>
  <c r="BC4" i="3" a="1"/>
  <c r="BW6" i="3" a="1"/>
  <c r="BV5" i="3" a="1"/>
  <c r="AK4" i="3" a="1"/>
  <c r="AK5" i="3" a="1"/>
  <c r="AW6" i="3" a="1"/>
  <c r="BS5" i="3" a="1"/>
  <c r="BN5" i="3" a="1"/>
  <c r="BX3" i="3" a="1"/>
  <c r="AW3" i="3" a="1"/>
  <c r="AA6" i="3" a="1"/>
  <c r="BP3" i="3" a="1"/>
  <c r="AI6" i="3" a="1"/>
  <c r="AV4" i="3" a="1"/>
  <c r="BX4" i="3" a="1"/>
  <c r="BN4" i="3" a="1"/>
  <c r="AE3" i="3" a="1"/>
  <c r="AW4" i="3" a="1"/>
  <c r="BQ4" i="3" a="1"/>
  <c r="AT5" i="3" a="1"/>
  <c r="AF4" i="3" a="1"/>
  <c r="Z6" i="3" a="1"/>
  <c r="BD5" i="3" a="1"/>
  <c r="AI3" i="3" a="1"/>
  <c r="BB6" i="3" a="1"/>
  <c r="AD6" i="3" a="1"/>
  <c r="BH6" i="3" a="1"/>
  <c r="AI4" i="3" a="1"/>
  <c r="AX4" i="3" a="1"/>
  <c r="W5" i="3" a="1"/>
  <c r="AE4" i="3" a="1"/>
  <c r="BT5" i="3" a="1"/>
  <c r="BQ5" i="3" a="1"/>
  <c r="BL6" i="3" a="1"/>
  <c r="BU4" i="3" a="1"/>
  <c r="AX5" i="3" a="1"/>
  <c r="AZ3" i="3" a="1"/>
  <c r="BT3" i="3" a="1"/>
  <c r="AH6" i="3" a="1"/>
  <c r="BK6" i="3" a="1"/>
  <c r="AR5" i="3" a="1"/>
  <c r="BE4" i="3" a="1"/>
  <c r="BC6" i="3" a="1"/>
  <c r="BM5" i="3" a="1"/>
  <c r="BF6" i="3" a="1"/>
  <c r="AN3" i="3" a="1"/>
  <c r="AS3" i="3" a="1"/>
  <c r="AM5" i="3" a="1"/>
  <c r="AQ3" i="3" a="1"/>
  <c r="AJ6" i="3" a="1"/>
  <c r="W3" i="3" a="1"/>
  <c r="BG5" i="3" a="1"/>
  <c r="BR6" i="3" a="1"/>
  <c r="BG3" i="3" a="1"/>
  <c r="BV3" i="3" a="1"/>
  <c r="BI4" i="3" a="1"/>
  <c r="BS3" i="3" a="1"/>
  <c r="BF5" i="3" a="1"/>
  <c r="Y4" i="3" a="1"/>
  <c r="AK3" i="3" a="1"/>
  <c r="AT6" i="3" a="1"/>
  <c r="BC5" i="3" a="1"/>
  <c r="BL3" i="3" a="1"/>
  <c r="AN6" i="3" a="1"/>
  <c r="BJ3" i="3" a="1"/>
  <c r="BP4" i="3" a="1"/>
  <c r="BQ6" i="3" a="1"/>
  <c r="BQ3" i="3" a="1"/>
  <c r="AA4" i="3" a="1"/>
  <c r="AR6" i="3" a="1"/>
  <c r="BJ5" i="3" a="1"/>
  <c r="AT3" i="3" a="1"/>
  <c r="BB5" i="3" a="1"/>
  <c r="AO4" i="3" a="1"/>
  <c r="BJ4" i="3" a="1"/>
  <c r="BM3" i="3" a="1"/>
  <c r="BL5" i="3" a="1"/>
  <c r="BH6" i="3" l="1"/>
  <c r="BD6" i="3"/>
  <c r="AZ6" i="3"/>
  <c r="AV6" i="3"/>
  <c r="AR6" i="3"/>
  <c r="AN6" i="3"/>
  <c r="AJ6" i="3"/>
  <c r="AF6" i="3"/>
  <c r="AB6" i="3"/>
  <c r="X6" i="3"/>
  <c r="BX4" i="3"/>
  <c r="BT4" i="3"/>
  <c r="BP4" i="3"/>
  <c r="BL4" i="3"/>
  <c r="BH4" i="3"/>
  <c r="BD4" i="3"/>
  <c r="AZ4" i="3"/>
  <c r="AV4" i="3"/>
  <c r="AR4" i="3"/>
  <c r="AN4" i="3"/>
  <c r="AJ4" i="3"/>
  <c r="AF4" i="3"/>
  <c r="AB4" i="3"/>
  <c r="X4" i="3"/>
  <c r="BW6" i="3"/>
  <c r="BU6" i="3"/>
  <c r="BS6" i="3"/>
  <c r="BQ6" i="3"/>
  <c r="BO6" i="3"/>
  <c r="BM6" i="3"/>
  <c r="BK6" i="3"/>
  <c r="BG6" i="3"/>
  <c r="BC6" i="3"/>
  <c r="AY6" i="3"/>
  <c r="AU6" i="3"/>
  <c r="AQ6" i="3"/>
  <c r="AM6" i="3"/>
  <c r="AI6" i="3"/>
  <c r="AE6" i="3"/>
  <c r="AA6" i="3"/>
  <c r="W6" i="3"/>
  <c r="BW4" i="3"/>
  <c r="BS4" i="3"/>
  <c r="BO4" i="3"/>
  <c r="BK4" i="3"/>
  <c r="BG4" i="3"/>
  <c r="BC4" i="3"/>
  <c r="AY4" i="3"/>
  <c r="AU4" i="3"/>
  <c r="AQ4" i="3"/>
  <c r="AM4" i="3"/>
  <c r="AI4" i="3"/>
  <c r="AE4" i="3"/>
  <c r="AA4" i="3"/>
  <c r="BJ6" i="3"/>
  <c r="BF6" i="3"/>
  <c r="BB6" i="3"/>
  <c r="AX6" i="3"/>
  <c r="AT6" i="3"/>
  <c r="AP6" i="3"/>
  <c r="AL6" i="3"/>
  <c r="AH6" i="3"/>
  <c r="AD6" i="3"/>
  <c r="Z6" i="3"/>
  <c r="V6" i="3"/>
  <c r="BV4" i="3"/>
  <c r="BR4" i="3"/>
  <c r="BN4" i="3"/>
  <c r="BJ4" i="3"/>
  <c r="BF4" i="3"/>
  <c r="BB4" i="3"/>
  <c r="AX4" i="3"/>
  <c r="AT4" i="3"/>
  <c r="AP4" i="3"/>
  <c r="AL4" i="3"/>
  <c r="AH4" i="3"/>
  <c r="AD4" i="3"/>
  <c r="Z4" i="3"/>
  <c r="BX6" i="3"/>
  <c r="BV6" i="3"/>
  <c r="BT6" i="3"/>
  <c r="BR6" i="3"/>
  <c r="BP6" i="3"/>
  <c r="BN6" i="3"/>
  <c r="BL6" i="3"/>
  <c r="BI6" i="3"/>
  <c r="BE6" i="3"/>
  <c r="BA6" i="3"/>
  <c r="AW6" i="3"/>
  <c r="AS6" i="3"/>
  <c r="AO6" i="3"/>
  <c r="AK6" i="3"/>
  <c r="AG6" i="3"/>
  <c r="AC6" i="3"/>
  <c r="Y6" i="3"/>
  <c r="BU4" i="3"/>
  <c r="BQ4" i="3"/>
  <c r="BM4" i="3"/>
  <c r="BI4" i="3"/>
  <c r="BE4" i="3"/>
  <c r="BA4" i="3"/>
  <c r="AW4" i="3"/>
  <c r="AS4" i="3"/>
  <c r="AO4" i="3"/>
  <c r="AK4" i="3"/>
  <c r="AG4" i="3"/>
  <c r="AC4" i="3"/>
  <c r="Y4" i="3"/>
  <c r="W4" i="3"/>
  <c r="BX5" i="3"/>
  <c r="BV5" i="3"/>
  <c r="BT5" i="3"/>
  <c r="BR5" i="3"/>
  <c r="BP5" i="3"/>
  <c r="BN5" i="3"/>
  <c r="BL5" i="3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BW3" i="3"/>
  <c r="BU3" i="3"/>
  <c r="BS3" i="3"/>
  <c r="BQ3" i="3"/>
  <c r="BO3" i="3"/>
  <c r="BM3" i="3"/>
  <c r="BK3" i="3"/>
  <c r="BI3" i="3"/>
  <c r="BG3" i="3"/>
  <c r="BE3" i="3"/>
  <c r="BC3" i="3"/>
  <c r="BA3" i="3"/>
  <c r="AY3" i="3"/>
  <c r="AW3" i="3"/>
  <c r="AU3" i="3"/>
  <c r="AS3" i="3"/>
  <c r="AQ3" i="3"/>
  <c r="AO3" i="3"/>
  <c r="AM3" i="3"/>
  <c r="AK3" i="3"/>
  <c r="AI3" i="3"/>
  <c r="AG3" i="3"/>
  <c r="AE3" i="3"/>
  <c r="AC3" i="3"/>
  <c r="AA3" i="3"/>
  <c r="Y3" i="3"/>
  <c r="W3" i="3"/>
  <c r="V4" i="3"/>
  <c r="BW5" i="3"/>
  <c r="BU5" i="3"/>
  <c r="BS5" i="3"/>
  <c r="BQ5" i="3"/>
  <c r="BO5" i="3"/>
  <c r="BM5" i="3"/>
  <c r="BK5" i="3"/>
  <c r="BI5" i="3"/>
  <c r="BG5" i="3"/>
  <c r="BE5" i="3"/>
  <c r="BC5" i="3"/>
  <c r="BA5" i="3"/>
  <c r="AY5" i="3"/>
  <c r="AW5" i="3"/>
  <c r="AU5" i="3"/>
  <c r="AS5" i="3"/>
  <c r="AQ5" i="3"/>
  <c r="AO5" i="3"/>
  <c r="AM5" i="3"/>
  <c r="AK5" i="3"/>
  <c r="AI5" i="3"/>
  <c r="AG5" i="3"/>
  <c r="AE5" i="3"/>
  <c r="AC5" i="3"/>
  <c r="AA5" i="3"/>
  <c r="Y5" i="3"/>
  <c r="W5" i="3"/>
  <c r="BX3" i="3"/>
  <c r="BV3" i="3"/>
  <c r="BT3" i="3"/>
  <c r="BR3" i="3"/>
  <c r="BP3" i="3"/>
  <c r="BN3" i="3"/>
  <c r="BL3" i="3"/>
  <c r="BJ3" i="3"/>
  <c r="BH3" i="3"/>
  <c r="BF3" i="3"/>
  <c r="BD3" i="3"/>
  <c r="BB3" i="3"/>
  <c r="AZ3" i="3"/>
  <c r="AX3" i="3"/>
  <c r="AV3" i="3"/>
  <c r="AT3" i="3"/>
  <c r="AR3" i="3"/>
  <c r="AP3" i="3"/>
  <c r="AN3" i="3"/>
  <c r="AL3" i="3"/>
  <c r="AJ3" i="3"/>
  <c r="AH3" i="3"/>
  <c r="AF3" i="3"/>
  <c r="AD3" i="3"/>
  <c r="AB3" i="3"/>
  <c r="Z3" i="3"/>
  <c r="X3" i="3"/>
  <c r="V3" i="3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F5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G8" i="1"/>
  <c r="G10" i="1"/>
  <c r="T10" i="1" s="1"/>
  <c r="G13" i="1"/>
  <c r="T13" i="1" s="1"/>
  <c r="G16" i="1"/>
  <c r="G18" i="1"/>
  <c r="G21" i="1"/>
  <c r="G24" i="1"/>
  <c r="T24" i="1" s="1"/>
  <c r="G26" i="1"/>
  <c r="G29" i="1"/>
  <c r="G32" i="1"/>
  <c r="G34" i="1"/>
  <c r="T34" i="1" s="1"/>
  <c r="G37" i="1"/>
  <c r="G40" i="1"/>
  <c r="T40" i="1" s="1"/>
  <c r="G42" i="1"/>
  <c r="G4" i="1"/>
  <c r="T4" i="1" s="1"/>
  <c r="G6" i="1"/>
  <c r="G9" i="1"/>
  <c r="G12" i="1"/>
  <c r="G14" i="1"/>
  <c r="T14" i="1" s="1"/>
  <c r="G17" i="1"/>
  <c r="G20" i="1"/>
  <c r="T20" i="1" s="1"/>
  <c r="G22" i="1"/>
  <c r="G25" i="1"/>
  <c r="G28" i="1"/>
  <c r="G30" i="1"/>
  <c r="G33" i="1"/>
  <c r="G36" i="1"/>
  <c r="G38" i="1"/>
  <c r="G41" i="1"/>
  <c r="G44" i="1"/>
  <c r="T44" i="1" s="1"/>
  <c r="G43" i="1"/>
  <c r="T43" i="1" s="1"/>
  <c r="G27" i="1"/>
  <c r="G11" i="1"/>
  <c r="G19" i="1"/>
  <c r="T19" i="1" s="1"/>
  <c r="G15" i="1"/>
  <c r="T15" i="1" s="1"/>
  <c r="G39" i="1"/>
  <c r="G23" i="1"/>
  <c r="G7" i="1"/>
  <c r="T7" i="1" s="1"/>
  <c r="G35" i="1"/>
  <c r="T35" i="1" s="1"/>
  <c r="G31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H21" i="1"/>
  <c r="H26" i="1"/>
  <c r="S26" i="1" s="1"/>
  <c r="H32" i="1"/>
  <c r="S32" i="1" s="1"/>
  <c r="H37" i="1"/>
  <c r="H42" i="1"/>
  <c r="S42" i="1" s="1"/>
  <c r="H18" i="1"/>
  <c r="H29" i="1"/>
  <c r="H40" i="1"/>
  <c r="H4" i="1"/>
  <c r="H14" i="1"/>
  <c r="H25" i="1"/>
  <c r="S25" i="1" s="1"/>
  <c r="H36" i="1"/>
  <c r="H6" i="1"/>
  <c r="S6" i="1" s="1"/>
  <c r="H12" i="1"/>
  <c r="S12" i="1" s="1"/>
  <c r="H17" i="1"/>
  <c r="S17" i="1" s="1"/>
  <c r="H22" i="1"/>
  <c r="H28" i="1"/>
  <c r="S28" i="1" s="1"/>
  <c r="H33" i="1"/>
  <c r="H38" i="1"/>
  <c r="S38" i="1" s="1"/>
  <c r="H44" i="1"/>
  <c r="H8" i="1"/>
  <c r="S8" i="1" s="1"/>
  <c r="H13" i="1"/>
  <c r="H24" i="1"/>
  <c r="S24" i="1" s="1"/>
  <c r="H34" i="1"/>
  <c r="H9" i="1"/>
  <c r="H20" i="1"/>
  <c r="S20" i="1" s="1"/>
  <c r="H30" i="1"/>
  <c r="S30" i="1" s="1"/>
  <c r="H41" i="1"/>
  <c r="H35" i="1"/>
  <c r="H19" i="1"/>
  <c r="S19" i="1" s="1"/>
  <c r="H31" i="1"/>
  <c r="S31" i="1" s="1"/>
  <c r="H15" i="1"/>
  <c r="H43" i="1"/>
  <c r="H27" i="1"/>
  <c r="S27" i="1" s="1"/>
  <c r="H11" i="1"/>
  <c r="H39" i="1"/>
  <c r="H23" i="1"/>
  <c r="H7" i="1"/>
  <c r="S7" i="1" s="1"/>
  <c r="B16" i="1"/>
  <c r="L3" i="1"/>
  <c r="S39" i="1"/>
  <c r="S37" i="1"/>
  <c r="S36" i="1"/>
  <c r="S35" i="1"/>
  <c r="S34" i="1"/>
  <c r="S33" i="1"/>
  <c r="S29" i="1"/>
  <c r="S41" i="1"/>
  <c r="S15" i="1"/>
  <c r="S44" i="1"/>
  <c r="S40" i="1"/>
  <c r="S14" i="1"/>
  <c r="S11" i="1"/>
  <c r="B7" i="1"/>
  <c r="S43" i="1"/>
  <c r="S23" i="1"/>
  <c r="S22" i="1"/>
  <c r="S21" i="1"/>
  <c r="S9" i="1"/>
  <c r="S18" i="1"/>
  <c r="S16" i="1"/>
  <c r="H3" i="1"/>
  <c r="S13" i="1"/>
  <c r="S4" i="1"/>
  <c r="T39" i="1"/>
  <c r="T38" i="1"/>
  <c r="T37" i="1"/>
  <c r="T36" i="1"/>
  <c r="T33" i="1"/>
  <c r="T32" i="1"/>
  <c r="T31" i="1"/>
  <c r="T30" i="1"/>
  <c r="T29" i="1"/>
  <c r="T25" i="1"/>
  <c r="T42" i="1"/>
  <c r="T41" i="1"/>
  <c r="T28" i="1"/>
  <c r="T27" i="1"/>
  <c r="T26" i="1"/>
  <c r="T23" i="1"/>
  <c r="T22" i="1"/>
  <c r="T21" i="1"/>
  <c r="T18" i="1"/>
  <c r="T17" i="1"/>
  <c r="T16" i="1"/>
  <c r="T12" i="1"/>
  <c r="T9" i="1"/>
  <c r="T6" i="1"/>
  <c r="T11" i="1"/>
  <c r="B6" i="1"/>
  <c r="T5" i="1"/>
  <c r="G3" i="1"/>
  <c r="T3" i="1" s="1"/>
  <c r="T8" i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3" i="1"/>
  <c r="U18" i="1"/>
  <c r="U22" i="1"/>
  <c r="U14" i="1"/>
  <c r="U44" i="1"/>
  <c r="U24" i="1"/>
  <c r="U30" i="1"/>
  <c r="U34" i="1"/>
  <c r="U38" i="1"/>
  <c r="O4" i="1" l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AC57" i="1"/>
  <c r="AC56" i="1"/>
  <c r="AC55" i="1"/>
  <c r="AC54" i="1"/>
  <c r="AC53" i="1"/>
  <c r="AC52" i="1"/>
  <c r="AC51" i="1"/>
  <c r="AC50" i="1"/>
  <c r="AC49" i="1"/>
  <c r="AC48" i="1"/>
  <c r="AA45" i="1"/>
  <c r="AA58" i="1"/>
  <c r="AA47" i="1"/>
  <c r="AC46" i="1"/>
  <c r="AC23" i="1"/>
  <c r="AA46" i="1"/>
  <c r="AC45" i="1"/>
  <c r="AA43" i="1"/>
  <c r="AB43" i="1" s="1"/>
  <c r="AA42" i="1"/>
  <c r="AB42" i="1" s="1"/>
  <c r="AA41" i="1"/>
  <c r="AB41" i="1" s="1"/>
  <c r="AA40" i="1"/>
  <c r="AB40" i="1" s="1"/>
  <c r="AC38" i="1"/>
  <c r="AC37" i="1"/>
  <c r="AC36" i="1"/>
  <c r="AC35" i="1"/>
  <c r="AC34" i="1"/>
  <c r="AC33" i="1"/>
  <c r="AC32" i="1"/>
  <c r="AC31" i="1"/>
  <c r="AC30" i="1"/>
  <c r="AC29" i="1"/>
  <c r="AC43" i="1"/>
  <c r="AC25" i="1"/>
  <c r="AA24" i="1"/>
  <c r="AB24" i="1" s="1"/>
  <c r="AC22" i="1"/>
  <c r="AC21" i="1"/>
  <c r="AA14" i="1"/>
  <c r="AB14" i="1" s="1"/>
  <c r="AA11" i="1"/>
  <c r="AB11" i="1" s="1"/>
  <c r="AA8" i="1"/>
  <c r="AB8" i="1" s="1"/>
  <c r="AA7" i="1"/>
  <c r="AB7" i="1" s="1"/>
  <c r="AA5" i="1"/>
  <c r="AB5" i="1" s="1"/>
  <c r="AA57" i="1"/>
  <c r="AA55" i="1"/>
  <c r="AA53" i="1"/>
  <c r="AA51" i="1"/>
  <c r="AA49" i="1"/>
  <c r="AC47" i="1"/>
  <c r="AC42" i="1"/>
  <c r="AA36" i="1"/>
  <c r="AB36" i="1" s="1"/>
  <c r="AA34" i="1"/>
  <c r="AB34" i="1" s="1"/>
  <c r="AA32" i="1"/>
  <c r="AB32" i="1" s="1"/>
  <c r="AA30" i="1"/>
  <c r="AB30" i="1" s="1"/>
  <c r="AC27" i="1"/>
  <c r="AA25" i="1"/>
  <c r="AB25" i="1" s="1"/>
  <c r="AA23" i="1"/>
  <c r="AB23" i="1" s="1"/>
  <c r="AA22" i="1"/>
  <c r="AA21" i="1"/>
  <c r="AA20" i="1"/>
  <c r="AB20" i="1" s="1"/>
  <c r="AA19" i="1"/>
  <c r="AB19" i="1" s="1"/>
  <c r="AA18" i="1"/>
  <c r="AB18" i="1" s="1"/>
  <c r="AA17" i="1"/>
  <c r="AB17" i="1" s="1"/>
  <c r="AA16" i="1"/>
  <c r="AB16" i="1" s="1"/>
  <c r="AC15" i="1"/>
  <c r="AA13" i="1"/>
  <c r="AB13" i="1" s="1"/>
  <c r="AC12" i="1"/>
  <c r="AC41" i="1"/>
  <c r="AA37" i="1"/>
  <c r="AB37" i="1" s="1"/>
  <c r="AA27" i="1"/>
  <c r="AB27" i="1" s="1"/>
  <c r="AC26" i="1"/>
  <c r="AC14" i="1"/>
  <c r="AC11" i="1"/>
  <c r="AC8" i="1"/>
  <c r="AC7" i="1"/>
  <c r="AA56" i="1"/>
  <c r="AA54" i="1"/>
  <c r="AA52" i="1"/>
  <c r="AA50" i="1"/>
  <c r="AA48" i="1"/>
  <c r="U47" i="1"/>
  <c r="S48" i="1" s="1"/>
  <c r="AC40" i="1"/>
  <c r="AA38" i="1"/>
  <c r="AB38" i="1" s="1"/>
  <c r="AA35" i="1"/>
  <c r="AB35" i="1" s="1"/>
  <c r="AA33" i="1"/>
  <c r="AB33" i="1" s="1"/>
  <c r="AA31" i="1"/>
  <c r="AB31" i="1" s="1"/>
  <c r="AA29" i="1"/>
  <c r="AB29" i="1" s="1"/>
  <c r="AA26" i="1"/>
  <c r="AB26" i="1" s="1"/>
  <c r="AC24" i="1"/>
  <c r="AC20" i="1"/>
  <c r="AC19" i="1"/>
  <c r="AC17" i="1"/>
  <c r="AA10" i="1"/>
  <c r="AB10" i="1" s="1"/>
  <c r="AC6" i="1"/>
  <c r="AC5" i="1"/>
  <c r="AA15" i="1"/>
  <c r="AB15" i="1" s="1"/>
  <c r="AA6" i="1"/>
  <c r="AB6" i="1" s="1"/>
  <c r="AA4" i="1"/>
  <c r="AB4" i="1" s="1"/>
  <c r="AC3" i="1"/>
  <c r="AC18" i="1"/>
  <c r="AC16" i="1"/>
  <c r="AA12" i="1"/>
  <c r="AB12" i="1" s="1"/>
  <c r="AC9" i="1"/>
  <c r="AC13" i="1"/>
  <c r="AC10" i="1"/>
  <c r="AA9" i="1"/>
  <c r="AB9" i="1" s="1"/>
  <c r="AC4" i="1"/>
  <c r="AA3" i="1"/>
  <c r="AB3" i="1" s="1"/>
  <c r="B25" i="1"/>
  <c r="O3" i="1"/>
  <c r="AG4" i="1" l="1"/>
  <c r="AG9" i="1"/>
  <c r="AF9" i="1" l="1"/>
  <c r="AG8" i="1"/>
  <c r="AF13" i="1"/>
  <c r="AV13" i="1"/>
  <c r="AU14" i="1" s="1"/>
  <c r="AG3" i="1"/>
  <c r="AV4" i="1"/>
  <c r="AU5" i="1" s="1"/>
  <c r="AU9" i="1" s="1"/>
  <c r="AV9" i="1" s="1"/>
  <c r="AU10" i="1" s="1"/>
  <c r="AF4" i="1"/>
  <c r="AP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<sst xmlns="http://schemas.openxmlformats.org/spreadsheetml/2006/main" count="2184" uniqueCount="673">
  <si>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</si>
  <si>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</si>
  <si>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</si>
  <si>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</si>
  <si>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</si>
  <si>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</si>
  <si>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</si>
  <si>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</si>
  <si>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</si>
  <si>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</si>
  <si>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</si>
  <si>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</si>
  <si>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</si>
  <si>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</si>
  <si>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</si>
  <si>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</si>
  <si>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</si>
  <si>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</si>
  <si>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</si>
  <si>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</si>
  <si>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</si>
  <si>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</si>
  <si>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</si>
  <si>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</si>
  <si>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</si>
  <si>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</si>
  <si>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</si>
  <si>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</si>
  <si>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</si>
  <si>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</si>
  <si>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</si>
  <si>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</si>
  <si>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</si>
  <si>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</si>
  <si>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</si>
  <si>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</si>
  <si>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</si>
  <si>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</si>
  <si>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</si>
  <si>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</si>
  <si>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</si>
  <si>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</si>
  <si>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</si>
  <si>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</si>
  <si>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</si>
  <si>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</si>
  <si>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</si>
  <si>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</si>
  <si>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</si>
  <si>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</si>
  <si>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</si>
  <si>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</si>
  <si>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</si>
  <si>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</si>
  <si>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</si>
  <si>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</si>
  <si>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</si>
  <si>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</si>
  <si>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</si>
  <si>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</si>
  <si>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</si>
  <si>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</si>
  <si>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</si>
  <si>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</si>
  <si>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</si>
  <si>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</si>
  <si>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</si>
  <si>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</si>
  <si>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</si>
  <si>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</si>
  <si>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</si>
  <si>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</si>
  <si>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</si>
  <si>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</si>
  <si>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</si>
  <si>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</si>
  <si>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</si>
  <si>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</si>
  <si>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</si>
  <si>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</si>
  <si>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</si>
  <si>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</si>
  <si>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</si>
  <si>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</si>
  <si>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</si>
  <si>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</si>
  <si>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</si>
  <si>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</si>
  <si>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</si>
  <si>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</si>
  <si>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</si>
  <si>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</si>
  <si>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</si>
  <si>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</si>
  <si>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</si>
  <si>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</si>
  <si>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</si>
  <si>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</si>
  <si>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</si>
  <si>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</si>
  <si>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</si>
  <si>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</si>
  <si>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</si>
  <si>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</si>
  <si>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</si>
  <si>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</si>
  <si>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</si>
  <si>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</si>
  <si>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</si>
  <si>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</si>
  <si>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</si>
  <si>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</si>
  <si>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</si>
  <si>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</si>
  <si>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</si>
  <si>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</si>
  <si>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</si>
  <si>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</si>
  <si>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</si>
  <si>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</si>
  <si>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</si>
  <si>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</si>
  <si>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</si>
  <si>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</si>
  <si>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</si>
  <si>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</si>
  <si>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</si>
  <si>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</si>
  <si>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</si>
  <si>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</si>
  <si>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</si>
  <si>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</si>
  <si>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</si>
  <si>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</si>
  <si>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</si>
  <si>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</si>
  <si>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</si>
  <si>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</si>
  <si>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</si>
  <si>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</si>
  <si>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ng</t>
  </si>
  <si>
    <t>G</t>
  </si>
  <si>
    <t>ㆭ</t>
    <phoneticPr fontId="9" type="noConversion"/>
  </si>
  <si>
    <t>m</t>
  </si>
  <si>
    <t>B</t>
  </si>
  <si>
    <t>ㆬ</t>
  </si>
  <si>
    <t>促聲注音</t>
    <phoneticPr fontId="9" type="noConversion"/>
  </si>
  <si>
    <t>舒聲注音</t>
    <phoneticPr fontId="9" type="noConversion"/>
  </si>
  <si>
    <t>韻化聲母</t>
    <phoneticPr fontId="9" type="noConversion"/>
  </si>
  <si>
    <t>uang</t>
  </si>
  <si>
    <t>uaG</t>
  </si>
  <si>
    <t>ㄨㄤ</t>
  </si>
  <si>
    <t>iong</t>
  </si>
  <si>
    <t>ioG</t>
  </si>
  <si>
    <t>ㄧㆲ</t>
  </si>
  <si>
    <t>ing</t>
  </si>
  <si>
    <t>ㄧㄥ</t>
  </si>
  <si>
    <t>iang</t>
  </si>
  <si>
    <t>iaG</t>
  </si>
  <si>
    <t>ㄧㄤ</t>
  </si>
  <si>
    <t>ong</t>
  </si>
  <si>
    <t>OG</t>
    <phoneticPr fontId="9" type="noConversion"/>
  </si>
  <si>
    <t>oG</t>
  </si>
  <si>
    <t>ang</t>
  </si>
  <si>
    <t>aG</t>
  </si>
  <si>
    <t>ㆭ韻尾</t>
    <phoneticPr fontId="9" type="noConversion"/>
  </si>
  <si>
    <t>7</t>
  </si>
  <si>
    <t>uaD</t>
  </si>
  <si>
    <t>uan</t>
  </si>
  <si>
    <t>ㄨㄢ</t>
  </si>
  <si>
    <t>5</t>
  </si>
  <si>
    <t>iaD</t>
  </si>
  <si>
    <t>ian</t>
  </si>
  <si>
    <t>ㄧㄢ</t>
  </si>
  <si>
    <t>h4</t>
    <phoneticPr fontId="9" type="noConversion"/>
  </si>
  <si>
    <t>6</t>
  </si>
  <si>
    <t>aD</t>
  </si>
  <si>
    <t>an</t>
  </si>
  <si>
    <t>k4</t>
    <phoneticPr fontId="9" type="noConversion"/>
  </si>
  <si>
    <t>z</t>
  </si>
  <si>
    <t>uD</t>
  </si>
  <si>
    <t>un</t>
  </si>
  <si>
    <t>ㄨㄣ</t>
  </si>
  <si>
    <t>t4</t>
    <phoneticPr fontId="9" type="noConversion"/>
  </si>
  <si>
    <t>g</t>
  </si>
  <si>
    <t>iD</t>
  </si>
  <si>
    <t>in</t>
  </si>
  <si>
    <t>ㄧㄣ</t>
  </si>
  <si>
    <t>p4</t>
    <phoneticPr fontId="9" type="noConversion"/>
  </si>
  <si>
    <t>D</t>
  </si>
  <si>
    <t>b</t>
  </si>
  <si>
    <t>3</t>
  </si>
  <si>
    <t>ㄣ韻尾</t>
    <phoneticPr fontId="9" type="noConversion"/>
  </si>
  <si>
    <t>4</t>
  </si>
  <si>
    <t xml:space="preserve"> </t>
  </si>
  <si>
    <t>G</t>
    <phoneticPr fontId="9" type="noConversion"/>
  </si>
  <si>
    <t>u</t>
  </si>
  <si>
    <t>oG</t>
    <phoneticPr fontId="9" type="noConversion"/>
  </si>
  <si>
    <t>-</t>
  </si>
  <si>
    <t>iam</t>
  </si>
  <si>
    <t>iaB</t>
  </si>
  <si>
    <t>ㄧㆰ</t>
    <phoneticPr fontId="9" type="noConversion"/>
  </si>
  <si>
    <t>/</t>
  </si>
  <si>
    <t>om</t>
  </si>
  <si>
    <t>oB</t>
  </si>
  <si>
    <t>aG</t>
    <phoneticPr fontId="9" type="noConversion"/>
  </si>
  <si>
    <t>:</t>
  </si>
  <si>
    <t>am</t>
  </si>
  <si>
    <t>aB</t>
  </si>
  <si>
    <t>ㆰ</t>
    <phoneticPr fontId="9" type="noConversion"/>
  </si>
  <si>
    <t>in</t>
    <phoneticPr fontId="9" type="noConversion"/>
  </si>
  <si>
    <t>iD</t>
    <phoneticPr fontId="9" type="noConversion"/>
  </si>
  <si>
    <t>;</t>
  </si>
  <si>
    <t>im</t>
  </si>
  <si>
    <t>iB</t>
  </si>
  <si>
    <t>ㄧㆬ</t>
    <phoneticPr fontId="9" type="noConversion"/>
  </si>
  <si>
    <t>aD</t>
    <phoneticPr fontId="9" type="noConversion"/>
  </si>
  <si>
    <t>p</t>
  </si>
  <si>
    <t>B</t>
    <phoneticPr fontId="9" type="noConversion"/>
  </si>
  <si>
    <t>0</t>
  </si>
  <si>
    <t>ㆬ韻尾</t>
    <phoneticPr fontId="9" type="noConversion"/>
  </si>
  <si>
    <t>oB</t>
    <phoneticPr fontId="9" type="noConversion"/>
  </si>
  <si>
    <t>aB</t>
    <phoneticPr fontId="9" type="noConversion"/>
  </si>
  <si>
    <t>&lt;</t>
  </si>
  <si>
    <t>NU</t>
    <phoneticPr fontId="9" type="noConversion"/>
  </si>
  <si>
    <t>,</t>
  </si>
  <si>
    <t>uainn</t>
    <phoneticPr fontId="9" type="noConversion"/>
  </si>
  <si>
    <t>NuI</t>
  </si>
  <si>
    <t>ㄨㆮㆷ</t>
  </si>
  <si>
    <t>ㄨㆮ</t>
  </si>
  <si>
    <t>U</t>
    <phoneticPr fontId="9" type="noConversion"/>
  </si>
  <si>
    <t>L</t>
  </si>
  <si>
    <t>uenn</t>
  </si>
  <si>
    <t>Nue</t>
  </si>
  <si>
    <t>ㄨㆥ</t>
  </si>
  <si>
    <t>NI</t>
    <phoneticPr fontId="9" type="noConversion"/>
  </si>
  <si>
    <t>uann</t>
  </si>
  <si>
    <t>Nua</t>
  </si>
  <si>
    <t>ㄨㆩ</t>
  </si>
  <si>
    <t>I</t>
    <phoneticPr fontId="9" type="noConversion"/>
  </si>
  <si>
    <t>(</t>
  </si>
  <si>
    <t>ㄞ</t>
  </si>
  <si>
    <t>uinn</t>
  </si>
  <si>
    <t>Nui</t>
  </si>
  <si>
    <t>ㄨㆪ</t>
  </si>
  <si>
    <t>Nu</t>
    <phoneticPr fontId="9" type="noConversion"/>
  </si>
  <si>
    <t>iaunn</t>
    <phoneticPr fontId="9" type="noConversion"/>
  </si>
  <si>
    <t>NiU</t>
  </si>
  <si>
    <t>ㄧㆯ</t>
  </si>
  <si>
    <t>J</t>
  </si>
  <si>
    <t>ionn</t>
  </si>
  <si>
    <t>Nio</t>
  </si>
  <si>
    <t>ㄧㆧ</t>
  </si>
  <si>
    <t>Ni</t>
    <phoneticPr fontId="9" type="noConversion"/>
  </si>
  <si>
    <t>j</t>
  </si>
  <si>
    <t>iann</t>
  </si>
  <si>
    <t>Nia</t>
  </si>
  <si>
    <t>ㄧㆩㆷ</t>
  </si>
  <si>
    <t>ㄧㆩ</t>
  </si>
  <si>
    <t>U</t>
  </si>
  <si>
    <t>iunn</t>
  </si>
  <si>
    <t>Niu</t>
  </si>
  <si>
    <t>ㄧㆫ</t>
  </si>
  <si>
    <t>Ne</t>
    <phoneticPr fontId="9" type="noConversion"/>
  </si>
  <si>
    <t>9</t>
  </si>
  <si>
    <t>aunn</t>
  </si>
  <si>
    <t>NU</t>
  </si>
  <si>
    <t>O</t>
  </si>
  <si>
    <t>ainn</t>
  </si>
  <si>
    <t>NI</t>
  </si>
  <si>
    <t>enn</t>
  </si>
  <si>
    <t>Ne</t>
  </si>
  <si>
    <t>NO</t>
    <phoneticPr fontId="9" type="noConversion"/>
  </si>
  <si>
    <t>onn</t>
  </si>
  <si>
    <t>No</t>
  </si>
  <si>
    <t>I</t>
  </si>
  <si>
    <t>ann</t>
  </si>
  <si>
    <t>Na</t>
  </si>
  <si>
    <t>Na</t>
    <phoneticPr fontId="9" type="noConversion"/>
  </si>
  <si>
    <t>i</t>
  </si>
  <si>
    <t>Nu</t>
  </si>
  <si>
    <t>*</t>
  </si>
  <si>
    <t>Ni</t>
  </si>
  <si>
    <t>r</t>
  </si>
  <si>
    <t>ㄒ</t>
  </si>
  <si>
    <t>韻母</t>
    <phoneticPr fontId="9" type="noConversion"/>
  </si>
  <si>
    <t>C</t>
    <phoneticPr fontId="9" type="noConversion"/>
  </si>
  <si>
    <t>c</t>
    <phoneticPr fontId="9" type="noConversion"/>
  </si>
  <si>
    <t>uai</t>
  </si>
  <si>
    <t>uI</t>
  </si>
  <si>
    <t>ㄨㄞㆷ</t>
  </si>
  <si>
    <t>ㄨㄞ</t>
  </si>
  <si>
    <t>ue</t>
  </si>
  <si>
    <t>ㄨㆤㆷ</t>
    <phoneticPr fontId="9" type="noConversion"/>
  </si>
  <si>
    <t>ㄨㆤ</t>
    <phoneticPr fontId="9" type="noConversion"/>
  </si>
  <si>
    <t>ua</t>
  </si>
  <si>
    <t>ㄨㄚㆷ</t>
  </si>
  <si>
    <t>ㄨㄚ</t>
  </si>
  <si>
    <t>ui</t>
  </si>
  <si>
    <t>ㄨㄧㆷ</t>
  </si>
  <si>
    <t>ㄨㄧ</t>
  </si>
  <si>
    <t>iau</t>
  </si>
  <si>
    <t>iU</t>
  </si>
  <si>
    <t>ㄧㄠㆷ</t>
  </si>
  <si>
    <t>ㄧㄠ</t>
  </si>
  <si>
    <t>c</t>
  </si>
  <si>
    <t>io</t>
  </si>
  <si>
    <t>ㄧㄜㆷ</t>
  </si>
  <si>
    <t>ㄧㄜ</t>
  </si>
  <si>
    <t>d</t>
  </si>
  <si>
    <t>ak</t>
    <phoneticPr fontId="9" type="noConversion"/>
  </si>
  <si>
    <t>ak̚</t>
    <phoneticPr fontId="9" type="noConversion"/>
  </si>
  <si>
    <t>ㄚㆻ</t>
    <phoneticPr fontId="9" type="noConversion"/>
  </si>
  <si>
    <t>ia</t>
  </si>
  <si>
    <t>ㄧㄚㆷ</t>
  </si>
  <si>
    <t>ㄧㄚ</t>
  </si>
  <si>
    <t>K</t>
    <phoneticPr fontId="9" type="noConversion"/>
  </si>
  <si>
    <r>
      <t>a</t>
    </r>
    <r>
      <rPr>
        <sz val="18"/>
        <rFont val="Segoe UI"/>
        <family val="2"/>
      </rPr>
      <t>ŋ</t>
    </r>
    <phoneticPr fontId="9" type="noConversion"/>
  </si>
  <si>
    <t>iu</t>
  </si>
  <si>
    <t>ㄧㄨㆷ</t>
  </si>
  <si>
    <t>ㄧㄨ</t>
  </si>
  <si>
    <t>k</t>
    <phoneticPr fontId="9" type="noConversion"/>
  </si>
  <si>
    <t>E</t>
  </si>
  <si>
    <t>at</t>
  </si>
  <si>
    <t>at̚</t>
    <phoneticPr fontId="9" type="noConversion"/>
  </si>
  <si>
    <t>ㄚㆴ</t>
    <phoneticPr fontId="9" type="noConversion"/>
  </si>
  <si>
    <t>au</t>
  </si>
  <si>
    <t>ㄠㆷ</t>
  </si>
  <si>
    <t>d</t>
    <phoneticPr fontId="9" type="noConversion"/>
  </si>
  <si>
    <t>e</t>
  </si>
  <si>
    <t>ai</t>
  </si>
  <si>
    <t>ㄞㆷ</t>
  </si>
  <si>
    <t>x</t>
  </si>
  <si>
    <t>ap</t>
  </si>
  <si>
    <r>
      <t>ap</t>
    </r>
    <r>
      <rPr>
        <sz val="18"/>
        <rFont val="Tahoma"/>
        <family val="2"/>
      </rPr>
      <t>̚</t>
    </r>
    <phoneticPr fontId="9" type="noConversion"/>
  </si>
  <si>
    <t>ㆦㆷ</t>
  </si>
  <si>
    <t>ㆦ</t>
    <phoneticPr fontId="9" type="noConversion"/>
  </si>
  <si>
    <t>T</t>
    <phoneticPr fontId="9" type="noConversion"/>
  </si>
  <si>
    <t>s</t>
  </si>
  <si>
    <t>ㆤㆷ</t>
  </si>
  <si>
    <t>t</t>
    <phoneticPr fontId="9" type="noConversion"/>
  </si>
  <si>
    <t>w</t>
  </si>
  <si>
    <t>按鍵字元</t>
  </si>
  <si>
    <t>annh</t>
    <phoneticPr fontId="9" type="noConversion"/>
  </si>
  <si>
    <r>
      <t>ã</t>
    </r>
    <r>
      <rPr>
        <sz val="18"/>
        <rFont val="Tahoma"/>
        <family val="2"/>
      </rPr>
      <t>ʔ</t>
    </r>
    <phoneticPr fontId="9" type="noConversion"/>
  </si>
  <si>
    <t>ㆩㆷ</t>
    <phoneticPr fontId="9" type="noConversion"/>
  </si>
  <si>
    <t>oo</t>
  </si>
  <si>
    <t>2</t>
  </si>
  <si>
    <t>輸入碼</t>
    <phoneticPr fontId="9" type="noConversion"/>
  </si>
  <si>
    <t>ã</t>
    <phoneticPr fontId="9" type="noConversion"/>
  </si>
  <si>
    <t>ㆩ</t>
    <phoneticPr fontId="9" type="noConversion"/>
  </si>
  <si>
    <t>a</t>
  </si>
  <si>
    <t>ㄚㆷ</t>
    <phoneticPr fontId="9" type="noConversion"/>
  </si>
  <si>
    <t>q</t>
  </si>
  <si>
    <t>台羅拼音</t>
  </si>
  <si>
    <t>ah</t>
  </si>
  <si>
    <t>a?</t>
  </si>
  <si>
    <t>ㄨㆷ</t>
    <phoneticPr fontId="9" type="noConversion"/>
  </si>
  <si>
    <t>P</t>
    <phoneticPr fontId="9" type="noConversion"/>
  </si>
  <si>
    <t>ㄚ</t>
    <phoneticPr fontId="9" type="noConversion"/>
  </si>
  <si>
    <t>ㄧㆷ</t>
    <phoneticPr fontId="9" type="noConversion"/>
  </si>
  <si>
    <t>1</t>
  </si>
  <si>
    <t>國際音標</t>
    <phoneticPr fontId="9" type="noConversion"/>
  </si>
  <si>
    <t>入聲（以 ㄚ 為例）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</si>
  <si>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</si>
  <si>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</si>
  <si>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</si>
  <si>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</si>
  <si>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</si>
  <si>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</si>
  <si>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y</t>
    <phoneticPr fontId="9" type="noConversion"/>
  </si>
  <si>
    <t>h</t>
    <phoneticPr fontId="9" type="noConversion"/>
  </si>
  <si>
    <t>n</t>
    <phoneticPr fontId="9" type="noConversion"/>
  </si>
  <si>
    <t>b</t>
    <phoneticPr fontId="9" type="noConversion"/>
  </si>
  <si>
    <t>Y</t>
    <phoneticPr fontId="9" type="noConversion"/>
  </si>
  <si>
    <t>H</t>
    <phoneticPr fontId="9" type="noConversion"/>
  </si>
  <si>
    <t>B</t>
    <phoneticPr fontId="9" type="noConversion"/>
  </si>
  <si>
    <t>N</t>
    <phoneticPr fontId="9" type="noConversion"/>
  </si>
  <si>
    <t>alphabet</t>
    <phoneticPr fontId="9" type="noConversion"/>
  </si>
  <si>
    <t>使用之注音符號</t>
    <phoneticPr fontId="9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</si>
  <si>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9" type="noConversion"/>
  </si>
  <si>
    <t>篩選</t>
    <phoneticPr fontId="9" type="noConversion"/>
  </si>
  <si>
    <t>finals</t>
    <phoneticPr fontId="9" type="noConversion"/>
  </si>
  <si>
    <t>拼音字母</t>
    <phoneticPr fontId="16" type="noConversion"/>
  </si>
  <si>
    <t>國際音標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</si>
  <si>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</si>
  <si>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</si>
  <si>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</si>
  <si>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</si>
  <si>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</si>
  <si>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</si>
  <si>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字典編碼對映按鍵字元</t>
    <phoneticPr fontId="9" type="noConversion"/>
  </si>
  <si>
    <t>ph</t>
  </si>
  <si>
    <t>[pʰ]</t>
  </si>
  <si>
    <t>!</t>
  </si>
  <si>
    <t>ㄅㄏ</t>
  </si>
  <si>
    <t>q</t>
    <phoneticPr fontId="9" type="noConversion"/>
  </si>
  <si>
    <t>Q</t>
    <phoneticPr fontId="9" type="noConversion"/>
  </si>
  <si>
    <t>[m]</t>
  </si>
  <si>
    <t>ㄆ</t>
    <phoneticPr fontId="9" type="noConversion"/>
  </si>
  <si>
    <t>P</t>
  </si>
  <si>
    <t>A</t>
    <phoneticPr fontId="9" type="noConversion"/>
  </si>
  <si>
    <t>[b]</t>
  </si>
  <si>
    <t>[t]</t>
  </si>
  <si>
    <t>@</t>
    <phoneticPr fontId="9" type="noConversion"/>
  </si>
  <si>
    <t>按鍵字元對映注音符號</t>
    <phoneticPr fontId="9" type="noConversion"/>
  </si>
  <si>
    <t>[tʰ]</t>
  </si>
  <si>
    <t>ㄊ</t>
    <phoneticPr fontId="9" type="noConversion"/>
  </si>
  <si>
    <t>T</t>
  </si>
  <si>
    <t>w</t>
    <phoneticPr fontId="9" type="noConversion"/>
  </si>
  <si>
    <t>W</t>
    <phoneticPr fontId="9" type="noConversion"/>
  </si>
  <si>
    <t>[n]</t>
  </si>
  <si>
    <t>[l]</t>
  </si>
  <si>
    <t>x</t>
    <phoneticPr fontId="9" type="noConversion"/>
  </si>
  <si>
    <t>X</t>
    <phoneticPr fontId="9" type="noConversion"/>
  </si>
  <si>
    <t>[k]</t>
  </si>
  <si>
    <t>#</t>
    <phoneticPr fontId="9" type="noConversion"/>
  </si>
  <si>
    <t>字典編碼對映注音符號</t>
    <phoneticPr fontId="9" type="noConversion"/>
  </si>
  <si>
    <t>kh</t>
  </si>
  <si>
    <t>[kʰ]</t>
  </si>
  <si>
    <t>ㄍㄏ</t>
  </si>
  <si>
    <t>E</t>
    <phoneticPr fontId="9" type="noConversion"/>
  </si>
  <si>
    <t>h</t>
  </si>
  <si>
    <t>[h]</t>
  </si>
  <si>
    <t>ㄎ</t>
    <phoneticPr fontId="9" type="noConversion"/>
  </si>
  <si>
    <t>K</t>
  </si>
  <si>
    <t>D</t>
    <phoneticPr fontId="9" type="noConversion"/>
  </si>
  <si>
    <t>ci</t>
  </si>
  <si>
    <t>[t͡ɕ]</t>
  </si>
  <si>
    <t>?</t>
  </si>
  <si>
    <t>chi</t>
  </si>
  <si>
    <t>[t͡ɕʰ]</t>
  </si>
  <si>
    <t>$</t>
    <phoneticPr fontId="9" type="noConversion"/>
  </si>
  <si>
    <t>si</t>
  </si>
  <si>
    <t>[ɕ]</t>
  </si>
  <si>
    <t>r</t>
    <phoneticPr fontId="9" type="noConversion"/>
  </si>
  <si>
    <t>R</t>
    <phoneticPr fontId="9" type="noConversion"/>
  </si>
  <si>
    <t>[g]</t>
  </si>
  <si>
    <t>f</t>
    <phoneticPr fontId="9" type="noConversion"/>
  </si>
  <si>
    <t>F</t>
    <phoneticPr fontId="9" type="noConversion"/>
  </si>
  <si>
    <t>[ŋ]</t>
  </si>
  <si>
    <t>ㄖ</t>
    <phoneticPr fontId="9" type="noConversion"/>
  </si>
  <si>
    <t>ㆡ</t>
    <phoneticPr fontId="9" type="noConversion"/>
  </si>
  <si>
    <t>v</t>
    <phoneticPr fontId="9" type="noConversion"/>
  </si>
  <si>
    <t>V</t>
    <phoneticPr fontId="9" type="noConversion"/>
  </si>
  <si>
    <t>ji</t>
  </si>
  <si>
    <t>[d͡ʑ]</t>
  </si>
  <si>
    <t>Y</t>
  </si>
  <si>
    <t>ㄐ</t>
    <phoneticPr fontId="9" type="noConversion"/>
  </si>
  <si>
    <t>Z</t>
  </si>
  <si>
    <t>zi-</t>
    <phoneticPr fontId="9" type="noConversion"/>
  </si>
  <si>
    <t>ㄗㄧ</t>
  </si>
  <si>
    <t>%</t>
    <phoneticPr fontId="9" type="noConversion"/>
  </si>
  <si>
    <t>[d͡z]</t>
  </si>
  <si>
    <t>H</t>
  </si>
  <si>
    <t>ㄑ</t>
    <phoneticPr fontId="9" type="noConversion"/>
  </si>
  <si>
    <t>C</t>
  </si>
  <si>
    <t>ci-</t>
    <phoneticPr fontId="9" type="noConversion"/>
  </si>
  <si>
    <t>ㄘㄧ</t>
  </si>
  <si>
    <t>[t͡s]</t>
  </si>
  <si>
    <t>S</t>
  </si>
  <si>
    <t>si-</t>
  </si>
  <si>
    <t>ㄙㄧ</t>
  </si>
  <si>
    <t>ch</t>
  </si>
  <si>
    <t>[t͡sʰ]</t>
  </si>
  <si>
    <t>[s]</t>
  </si>
  <si>
    <t>ㄧ</t>
    <phoneticPr fontId="9" type="noConversion"/>
  </si>
  <si>
    <t>^</t>
    <phoneticPr fontId="9" type="noConversion"/>
  </si>
  <si>
    <t>[i]</t>
  </si>
  <si>
    <t>[u]</t>
  </si>
  <si>
    <t>[m̩]</t>
  </si>
  <si>
    <t>[a]</t>
  </si>
  <si>
    <t>&amp;</t>
    <phoneticPr fontId="9" type="noConversion"/>
  </si>
  <si>
    <t>ㄜ</t>
  </si>
  <si>
    <t>[ɔ]</t>
  </si>
  <si>
    <t>[ə]</t>
  </si>
  <si>
    <t>,</t>
    <phoneticPr fontId="9" type="noConversion"/>
  </si>
  <si>
    <t>ㄝ</t>
    <phoneticPr fontId="9" type="noConversion"/>
  </si>
  <si>
    <t>ㆤ</t>
    <phoneticPr fontId="9" type="noConversion"/>
  </si>
  <si>
    <t>[ai]</t>
  </si>
  <si>
    <t>ㄥㄝ</t>
    <phoneticPr fontId="9" type="noConversion"/>
  </si>
  <si>
    <t>M</t>
    <phoneticPr fontId="9" type="noConversion"/>
  </si>
  <si>
    <t>[e]</t>
  </si>
  <si>
    <t>ㄛ</t>
  </si>
  <si>
    <t>*</t>
    <phoneticPr fontId="9" type="noConversion"/>
  </si>
  <si>
    <t>[au]</t>
  </si>
  <si>
    <t>Noo</t>
    <phoneticPr fontId="9" type="noConversion"/>
  </si>
  <si>
    <t>[ɔŋ]</t>
  </si>
  <si>
    <t>[an]</t>
  </si>
  <si>
    <t>-n</t>
  </si>
  <si>
    <t>[ən]</t>
  </si>
  <si>
    <t>(</t>
    <phoneticPr fontId="9" type="noConversion"/>
  </si>
  <si>
    <t>[aŋ]</t>
  </si>
  <si>
    <t>Nai</t>
    <phoneticPr fontId="9" type="noConversion"/>
  </si>
  <si>
    <t>-ng</t>
  </si>
  <si>
    <t>[əŋ]</t>
  </si>
  <si>
    <t>l</t>
    <phoneticPr fontId="9" type="noConversion"/>
  </si>
  <si>
    <t>L</t>
    <phoneticPr fontId="9" type="noConversion"/>
  </si>
  <si>
    <t>[ŋ̍]</t>
  </si>
  <si>
    <t>Nau</t>
    <phoneticPr fontId="9" type="noConversion"/>
  </si>
  <si>
    <t>.</t>
    <phoneticPr fontId="9" type="noConversion"/>
  </si>
  <si>
    <t>[am]</t>
  </si>
  <si>
    <t>ㄛㄇ</t>
  </si>
  <si>
    <t>}</t>
    <phoneticPr fontId="9" type="noConversion"/>
  </si>
  <si>
    <t>)</t>
    <phoneticPr fontId="9" type="noConversion"/>
  </si>
  <si>
    <t>[ɔm]</t>
  </si>
  <si>
    <t>ㄚㄇ</t>
  </si>
  <si>
    <t>{</t>
    <phoneticPr fontId="9" type="noConversion"/>
  </si>
  <si>
    <t>[ã]</t>
  </si>
  <si>
    <t>:</t>
    <phoneticPr fontId="9" type="noConversion"/>
  </si>
  <si>
    <t>ㄛㄥ</t>
  </si>
  <si>
    <t>]</t>
    <phoneticPr fontId="9" type="noConversion"/>
  </si>
  <si>
    <t>;</t>
    <phoneticPr fontId="9" type="noConversion"/>
  </si>
  <si>
    <t>inn</t>
  </si>
  <si>
    <t>[ĩ]</t>
  </si>
  <si>
    <t>[</t>
    <phoneticPr fontId="9" type="noConversion"/>
  </si>
  <si>
    <t>/</t>
    <phoneticPr fontId="9" type="noConversion"/>
  </si>
  <si>
    <t>?</t>
    <phoneticPr fontId="9" type="noConversion"/>
  </si>
  <si>
    <t>unn</t>
  </si>
  <si>
    <t>[ũ]</t>
  </si>
  <si>
    <t>ㄦ</t>
    <phoneticPr fontId="9" type="noConversion"/>
  </si>
  <si>
    <t>ㆨ</t>
    <phoneticPr fontId="9" type="noConversion"/>
  </si>
  <si>
    <t>ir</t>
  </si>
  <si>
    <t>_</t>
    <phoneticPr fontId="9" type="noConversion"/>
  </si>
  <si>
    <t>[ẽ]</t>
  </si>
  <si>
    <t>M</t>
  </si>
  <si>
    <t>'</t>
    <phoneticPr fontId="9" type="noConversion"/>
  </si>
  <si>
    <t>"</t>
    <phoneticPr fontId="9" type="noConversion"/>
  </si>
  <si>
    <t>=</t>
    <phoneticPr fontId="9" type="noConversion"/>
  </si>
  <si>
    <t>+</t>
    <phoneticPr fontId="9" type="noConversion"/>
  </si>
  <si>
    <t>．</t>
  </si>
  <si>
    <t>ˉ</t>
    <phoneticPr fontId="9" type="noConversion"/>
  </si>
  <si>
    <t>ˉ</t>
  </si>
  <si>
    <t>\</t>
    <phoneticPr fontId="9" type="noConversion"/>
  </si>
  <si>
    <t>|</t>
    <phoneticPr fontId="9" type="noConversion"/>
  </si>
  <si>
    <t>ˇ</t>
    <phoneticPr fontId="9" type="noConversion"/>
  </si>
  <si>
    <t>ˊ</t>
    <phoneticPr fontId="9" type="noConversion"/>
  </si>
  <si>
    <t>ˇ</t>
  </si>
  <si>
    <t>ㄪ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</si>
  <si>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</si>
  <si>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</si>
  <si>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</si>
  <si>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</si>
  <si>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</si>
  <si>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</si>
  <si>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</si>
  <si>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</si>
  <si>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</si>
  <si>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</si>
  <si>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</si>
  <si>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</si>
  <si>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</si>
  <si>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</si>
  <si>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</si>
  <si>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</si>
  <si>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</si>
  <si>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</si>
  <si>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</si>
  <si>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</si>
  <si>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</si>
  <si>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</si>
  <si>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</si>
  <si>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</si>
  <si>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</si>
  <si>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g</t>
    <phoneticPr fontId="4" type="noConversion"/>
  </si>
  <si>
    <t>k</t>
    <phoneticPr fontId="4" type="noConversion"/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</si>
  <si>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</si>
  <si>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</si>
  <si>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</si>
  <si>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</si>
  <si>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</si>
  <si>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</si>
  <si>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</si>
  <si>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</si>
  <si>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</si>
  <si>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</si>
  <si>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</si>
  <si>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</si>
  <si>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</si>
  <si>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</si>
  <si>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</si>
  <si>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</si>
  <si>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</si>
  <si>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ji-</t>
    <phoneticPr fontId="9" type="noConversion"/>
  </si>
  <si>
    <t>ㆡㄧ</t>
    <phoneticPr fontId="9" type="noConversion"/>
  </si>
  <si>
    <t>注音編碼</t>
    <phoneticPr fontId="9" type="noConversion"/>
  </si>
  <si>
    <t>按鍵位置</t>
    <phoneticPr fontId="9" type="noConversion"/>
  </si>
  <si>
    <t>注音編碼與鍵盤按鍵對映</t>
    <phoneticPr fontId="9" type="noConversion"/>
  </si>
  <si>
    <t>鍵盤按與與注音符號對映 (preededit_format)</t>
    <phoneticPr fontId="9" type="noConversion"/>
  </si>
  <si>
    <t>注音編碼與注音符號對映 (comment_format)</t>
    <phoneticPr fontId="9" type="noConversion"/>
  </si>
  <si>
    <t>y</t>
  </si>
  <si>
    <t>8</t>
  </si>
  <si>
    <t>（空白）</t>
    <phoneticPr fontId="9" type="noConversion"/>
  </si>
  <si>
    <t>ㆨ</t>
  </si>
  <si>
    <t>ｎ</t>
  </si>
  <si>
    <t>ㆢ</t>
    <phoneticPr fontId="9" type="noConversion"/>
  </si>
  <si>
    <t>.</t>
  </si>
  <si>
    <t>ㆧ</t>
    <phoneticPr fontId="9" type="noConversion"/>
  </si>
  <si>
    <t>&lt;</t>
    <phoneticPr fontId="9" type="noConversion"/>
  </si>
  <si>
    <t>ng-</t>
    <phoneticPr fontId="9" type="noConversion"/>
  </si>
  <si>
    <t>ir</t>
    <phoneticPr fontId="9" type="noConversion"/>
  </si>
  <si>
    <t>-nn</t>
    <phoneticPr fontId="9" type="noConversion"/>
  </si>
  <si>
    <t>f</t>
  </si>
  <si>
    <t>v</t>
  </si>
  <si>
    <t>音標字母</t>
    <phoneticPr fontId="9" type="noConversion"/>
  </si>
  <si>
    <t>th</t>
    <phoneticPr fontId="9" type="noConversion"/>
  </si>
  <si>
    <t>si-</t>
    <phoneticPr fontId="9" type="noConversion"/>
  </si>
  <si>
    <t>ji-</t>
  </si>
  <si>
    <t>-m</t>
  </si>
  <si>
    <t>[48]</t>
  </si>
  <si>
    <t>[48]</t>
    <phoneticPr fontId="9" type="noConversion"/>
  </si>
  <si>
    <t>n-</t>
    <phoneticPr fontId="9" type="noConversion"/>
  </si>
  <si>
    <t>A</t>
  </si>
  <si>
    <t>ng-</t>
  </si>
  <si>
    <t>tsh</t>
  </si>
  <si>
    <t>tsi-</t>
  </si>
  <si>
    <t>tshi-</t>
  </si>
  <si>
    <t>@</t>
  </si>
  <si>
    <t>[</t>
  </si>
  <si>
    <t>]</t>
  </si>
  <si>
    <t>ㄦ</t>
  </si>
  <si>
    <t>}</t>
  </si>
  <si>
    <t>{</t>
  </si>
  <si>
    <t>-nn</t>
  </si>
  <si>
    <t/>
  </si>
  <si>
    <t>-p0</t>
  </si>
  <si>
    <t>-t0</t>
  </si>
  <si>
    <t>-k0</t>
  </si>
  <si>
    <t>-h0</t>
  </si>
  <si>
    <r>
      <rPr>
        <b/>
        <sz val="16"/>
        <color rgb="FFC00000"/>
        <rFont val="Noto Sans TC"/>
        <family val="2"/>
        <charset val="136"/>
      </rPr>
      <t>聲母與韻母表</t>
    </r>
    <phoneticPr fontId="9" type="noConversion"/>
  </si>
  <si>
    <r>
      <rPr>
        <sz val="12"/>
        <rFont val="Noto Sans TC"/>
        <family val="2"/>
      </rPr>
      <t>序號</t>
    </r>
  </si>
  <si>
    <t>ˉ</t>
    <phoneticPr fontId="9" type="noConversion"/>
  </si>
  <si>
    <t xml:space="preserve"> </t>
    <phoneticPr fontId="9" type="noConversion"/>
  </si>
  <si>
    <t>使用按鍵設定</t>
    <phoneticPr fontId="9" type="noConversion"/>
  </si>
  <si>
    <t xml:space="preserve">  alphabet: '1!qa2wsxeEdcbyhnBYHN?ujm8ik,9l.0p;/-UJ*I&lt;(LOA: 43657'</t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</si>
  <si>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</si>
  <si>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</si>
  <si>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</si>
  <si>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</si>
  <si>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</si>
  <si>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</si>
  <si>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</si>
  <si>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</si>
  <si>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</si>
  <si>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</si>
  <si>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</si>
  <si>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</si>
  <si>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</si>
  <si>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</si>
  <si>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</si>
  <si>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[</t>
    <phoneticPr fontId="9" type="noConversion"/>
  </si>
  <si>
    <t>]</t>
    <phoneticPr fontId="9" type="noConversion"/>
  </si>
  <si>
    <r>
      <rPr>
        <sz val="18"/>
        <rFont val="Microsoft JhengHei UI"/>
        <family val="2"/>
        <charset val="136"/>
      </rPr>
      <t>ㆰ</t>
    </r>
    <r>
      <rPr>
        <sz val="18"/>
        <rFont val="宋体"/>
        <charset val="136"/>
      </rPr>
      <t>ㆱ</t>
    </r>
    <phoneticPr fontId="9" type="noConversion"/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</si>
  <si>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</si>
  <si>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</si>
  <si>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</si>
  <si>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</si>
  <si>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ㄛㄥ</t>
    <phoneticPr fontId="9" type="noConversion"/>
  </si>
  <si>
    <t>ㄥㄧ</t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</si>
  <si>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</si>
  <si>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</si>
  <si>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</si>
  <si>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</si>
  <si>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</si>
  <si>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</si>
  <si>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</si>
  <si>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r>
      <t>"xlit|1!qa2wsxeEdcbyhnBYHN?ujm8ik,9l.0p;:/-OAUJ*I&lt;(L43657|</t>
    </r>
    <r>
      <rPr>
        <b/>
        <sz val="12"/>
        <color rgb="FFFF0000"/>
        <rFont val="Microsoft JhengHei"/>
        <family val="2"/>
      </rPr>
      <t>ㄅ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ㄆㄇㄉㄊㄋㄌㄍ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ㄎㄏ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ㄗㄘㄙ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ㄐㄑㄒㄫㄧㄨ</t>
    </r>
    <r>
      <rPr>
        <b/>
        <sz val="12"/>
        <color rgb="FFFF0000"/>
        <rFont val="Microsoft JhengHei"/>
        <family val="2"/>
        <charset val="136"/>
      </rPr>
      <t>ㆬ</t>
    </r>
    <r>
      <rPr>
        <b/>
        <sz val="12"/>
        <color rgb="FFFF0000"/>
        <rFont val="Microsoft JhengHei"/>
        <family val="2"/>
      </rPr>
      <t>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ｎ</t>
    </r>
    <r>
      <rPr>
        <b/>
        <sz val="12"/>
        <color rgb="FFFF0000"/>
        <rFont val="Microsoft JhengHei"/>
        <family val="2"/>
      </rPr>
      <t>ㄢㄣㄤ</t>
    </r>
    <r>
      <rPr>
        <b/>
        <sz val="12"/>
        <color rgb="FFFF0000"/>
        <rFont val="Microsoft JhengHei"/>
        <family val="2"/>
        <charset val="136"/>
      </rPr>
      <t>ㆲㆭㆨㆱㆰㆪㆫㆩㆧㆥㆮㆯˋ˪ˊ˫˙</t>
    </r>
    <r>
      <rPr>
        <b/>
        <sz val="12"/>
        <color rgb="FFFF0000"/>
        <rFont val="Arial"/>
        <family val="2"/>
      </rPr>
      <t>|"</t>
    </r>
    <phoneticPr fontId="9" type="noConversion"/>
  </si>
  <si>
    <t>xlit|pbPmtTnlkgKhjzcsJZCSwiuMaOoeyxB@NGHWRDVIUAQEYX123570|1!qa2wsxeEdcbyhnBYHN?ujm8ik,9l.0p;:/-OAUJ*I&lt;(L 43657|</t>
    <phoneticPr fontId="9" type="noConversion"/>
  </si>
  <si>
    <t>xlit|pbPmtTnlkgKhjzcsJZCSwiuMaOoeyxB@N[WRIUAQEYX}{]123570|1!qa2wsxeEdcbyhnBYHN?ujm8ik,9l.0p;/-UJ*I&lt;(LOA: 43657|</t>
    <phoneticPr fontId="9" type="noConversion"/>
  </si>
  <si>
    <r>
      <t>"xlit|1!qa2wsxeEdcbyhnBYHN?ujm8ik,9l.0p;/-UJ*I&lt;(LOA:43657|ㄅㆠㄆㄇㄉㄊㄋㄌㄍㆣㄎㄏㆡㄗㄘㄙㆢㄐㄑㄒㄥㄧㄨㄇㄚㄛㄜㄝㄞㄠｎㄢㄣㄤㄥㄦㆪㆫㆩㆧㆥㆮㆯㆱㆰㆲˋ</t>
    </r>
    <r>
      <rPr>
        <u/>
        <sz val="16"/>
        <color theme="10"/>
        <rFont val="Tahoma"/>
        <family val="1"/>
        <charset val="1"/>
      </rPr>
      <t>˪ˊ˫˙</t>
    </r>
    <r>
      <rPr>
        <u/>
        <sz val="16"/>
        <color theme="10"/>
        <rFont val="新細明體"/>
        <family val="1"/>
        <charset val="136"/>
        <scheme val="minor"/>
      </rPr>
      <t>|"</t>
    </r>
    <phoneticPr fontId="9" type="noConversion"/>
  </si>
  <si>
    <t>code:</t>
    <phoneticPr fontId="9" type="noConversion"/>
  </si>
  <si>
    <t>ㄫ</t>
    <phoneticPr fontId="9" type="noConversion"/>
  </si>
  <si>
    <t>ㄥ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</si>
</sst>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64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  <charset val="136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24"/>
      <color rgb="FF000000"/>
      <name val="Noto Serif TC Medium"/>
      <family val="1"/>
      <charset val="136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8"/>
      <name val="Segoe UI"/>
      <family val="2"/>
    </font>
    <font>
      <sz val="18"/>
      <name val="Tahoma"/>
      <family val="2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000000"/>
      <name val="新細明體"/>
      <family val="1"/>
      <charset val="136"/>
      <scheme val="minor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20"/>
      <color rgb="FF000000"/>
      <name val="新細明體"/>
      <family val="1"/>
      <charset val="136"/>
      <scheme val="minor"/>
    </font>
    <font>
      <sz val="18"/>
      <color rgb="FF000000"/>
      <name val="Noto Serif TC Medium"/>
      <family val="1"/>
      <charset val="136"/>
    </font>
    <font>
      <sz val="16"/>
      <name val="Microsoft JhengHei"/>
      <family val="2"/>
      <charset val="136"/>
    </font>
    <font>
      <sz val="18"/>
      <color theme="4" tint="0.39997558519241921"/>
      <name val="Arial"/>
      <family val="2"/>
    </font>
    <font>
      <sz val="10"/>
      <color rgb="FFFF0000"/>
      <name val="Noto Serif TC Medium"/>
      <family val="1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FF0000"/>
      <name val="Arial Narrow"/>
      <family val="2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u/>
      <sz val="20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  <charset val="136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sz val="18"/>
      <color theme="4"/>
      <name val="KangXiZiDian.com 康熙字典體常用版"/>
      <charset val="136"/>
    </font>
    <font>
      <sz val="26"/>
      <color theme="9"/>
      <name val="Iansui 094"/>
      <family val="3"/>
      <charset val="136"/>
    </font>
    <font>
      <b/>
      <sz val="24"/>
      <color rgb="FF00B050"/>
      <name val="Times New Roman"/>
      <family val="1"/>
    </font>
    <font>
      <sz val="18"/>
      <color rgb="FF0070C0"/>
      <name val="Arial"/>
      <family val="2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theme="8" tint="0.59999389629810485"/>
      <name val="Arial"/>
      <family val="2"/>
    </font>
    <font>
      <sz val="16"/>
      <color theme="0"/>
      <name val="Arial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  <font>
      <sz val="16"/>
      <color rgb="FFFF0000"/>
      <name val="新細明體"/>
      <family val="1"/>
      <charset val="136"/>
      <scheme val="minor"/>
    </font>
    <font>
      <b/>
      <sz val="14"/>
      <color rgb="FFFF0000"/>
      <name val="Noto Sans TC"/>
      <family val="2"/>
      <charset val="136"/>
    </font>
    <font>
      <sz val="14"/>
      <color rgb="FF000000"/>
      <name val="Noto Sans TC"/>
      <family val="2"/>
      <charset val="136"/>
    </font>
    <font>
      <sz val="16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6"/>
      <name val="Arial"/>
      <family val="2"/>
    </font>
    <font>
      <sz val="16"/>
      <color rgb="FF000000"/>
      <name val="Microsoft JhengHei UI"/>
      <family val="2"/>
      <charset val="136"/>
    </font>
    <font>
      <b/>
      <sz val="16"/>
      <color rgb="FFFF0000"/>
      <name val="Microsoft JhengHei UI"/>
      <family val="2"/>
      <charset val="136"/>
    </font>
    <font>
      <b/>
      <sz val="16"/>
      <color rgb="FFFF0000"/>
      <name val="Microsoft JhengHei Light"/>
      <family val="2"/>
      <charset val="136"/>
    </font>
    <font>
      <b/>
      <sz val="16"/>
      <color rgb="FF000000"/>
      <name val="Microsoft JhengHei Light"/>
      <family val="2"/>
      <charset val="136"/>
    </font>
    <font>
      <b/>
      <sz val="16"/>
      <color rgb="FF000000"/>
      <name val="Microsoft JhengHei UI"/>
      <family val="2"/>
      <charset val="136"/>
    </font>
    <font>
      <b/>
      <sz val="16"/>
      <color theme="8"/>
      <name val="Iansui 094"/>
      <family val="3"/>
      <charset val="136"/>
    </font>
    <font>
      <b/>
      <sz val="16"/>
      <color theme="8"/>
      <name val="新細明體"/>
      <family val="1"/>
      <charset val="136"/>
      <scheme val="minor"/>
    </font>
    <font>
      <b/>
      <sz val="16"/>
      <color theme="8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b/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b/>
      <sz val="16"/>
      <color rgb="FFC00000"/>
      <name val="Arial"/>
      <family val="2"/>
    </font>
    <font>
      <sz val="12"/>
      <color rgb="FF000000"/>
      <name val="Noto Sans TC"/>
      <family val="2"/>
    </font>
    <font>
      <b/>
      <sz val="12"/>
      <color rgb="FFC00000"/>
      <name val="Arial"/>
      <family val="2"/>
    </font>
    <font>
      <sz val="12"/>
      <name val="Noto Sans TC"/>
      <family val="2"/>
    </font>
    <font>
      <sz val="24"/>
      <color rgb="FF000000"/>
      <name val="Noto Sans TC Medium"/>
      <family val="2"/>
      <charset val="136"/>
    </font>
    <font>
      <b/>
      <sz val="24"/>
      <color theme="5" tint="-0.249977111117893"/>
      <name val="Noto Sans TC Medium"/>
      <family val="2"/>
      <charset val="136"/>
    </font>
    <font>
      <sz val="24"/>
      <color theme="7" tint="-0.499984740745262"/>
      <name val="Noto Sans TC Medium"/>
      <family val="2"/>
      <charset val="136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8"/>
      <color rgb="FFFF0000"/>
      <name val="Times New Roman"/>
      <family val="1"/>
    </font>
    <font>
      <b/>
      <sz val="10"/>
      <color theme="8" tint="-0.249977111117893"/>
      <name val="Arial"/>
      <family val="2"/>
    </font>
    <font>
      <sz val="18"/>
      <name val="Microsoft JhengHei UI"/>
      <family val="2"/>
      <charset val="136"/>
    </font>
    <font>
      <sz val="18"/>
      <name val="宋体"/>
      <family val="2"/>
      <charset val="136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b/>
      <sz val="20"/>
      <color rgb="FFFF0000"/>
      <name val="Microsoft JhengHei Light"/>
      <family val="2"/>
      <charset val="136"/>
    </font>
    <font>
      <u/>
      <sz val="16"/>
      <color theme="10"/>
      <name val="新細明體"/>
      <family val="1"/>
      <charset val="136"/>
      <scheme val="minor"/>
    </font>
    <font>
      <u/>
      <sz val="16"/>
      <color theme="10"/>
      <name val="Tahoma"/>
      <family val="1"/>
      <charset val="1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rgb="FF000000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49" fillId="0" borderId="0"/>
    <xf numFmtId="0" fontId="162" fillId="0" borderId="0" applyNumberFormat="0" applyFill="0" applyBorder="0" applyAlignment="0" applyProtection="0"/>
  </cellStyleXfs>
  <cellXfs count="496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11" fillId="0" borderId="0" xfId="0" applyFont="1" applyAlignment="1">
      <alignment horizontal="left" vertical="center" indent="1"/>
    </xf>
    <xf numFmtId="0" fontId="40" fillId="0" borderId="0" xfId="0" applyFont="1" applyAlignment="1">
      <alignment horizontal="left" vertical="center" indent="1"/>
    </xf>
    <xf numFmtId="0" fontId="23" fillId="6" borderId="0" xfId="0" applyFont="1" applyFill="1" applyAlignment="1">
      <alignment horizontal="left" vertical="center" indent="2"/>
    </xf>
    <xf numFmtId="0" fontId="10" fillId="4" borderId="0" xfId="0" applyFont="1" applyFill="1" applyAlignment="1">
      <alignment horizontal="left" vertical="center" indent="1"/>
    </xf>
    <xf numFmtId="0" fontId="30" fillId="13" borderId="0" xfId="0" applyFont="1" applyFill="1" applyAlignment="1">
      <alignment horizontal="left" vertical="center" indent="1"/>
    </xf>
    <xf numFmtId="0" fontId="41" fillId="5" borderId="15" xfId="0" applyFont="1" applyFill="1" applyBorder="1" applyAlignment="1">
      <alignment horizontal="center" vertical="center"/>
    </xf>
    <xf numFmtId="0" fontId="41" fillId="6" borderId="15" xfId="0" applyFont="1" applyFill="1" applyBorder="1" applyAlignment="1">
      <alignment horizontal="center" vertical="center"/>
    </xf>
    <xf numFmtId="0" fontId="42" fillId="4" borderId="15" xfId="0" applyFont="1" applyFill="1" applyBorder="1" applyAlignment="1">
      <alignment horizontal="left" vertical="center" indent="1"/>
    </xf>
    <xf numFmtId="0" fontId="41" fillId="3" borderId="15" xfId="0" applyFont="1" applyFill="1" applyBorder="1" applyAlignment="1">
      <alignment horizontal="center" vertical="center"/>
    </xf>
    <xf numFmtId="0" fontId="8" fillId="0" borderId="0" xfId="0" applyFont="1" applyAlignment="1">
      <alignment horizontal="left" vertical="center" indent="1"/>
    </xf>
    <xf numFmtId="0" fontId="35" fillId="6" borderId="0" xfId="0" applyFont="1" applyFill="1" applyAlignment="1">
      <alignment horizontal="left" vertical="center" indent="2"/>
    </xf>
    <xf numFmtId="0" fontId="23" fillId="5" borderId="8" xfId="0" applyFont="1" applyFill="1" applyBorder="1" applyAlignment="1">
      <alignment horizontal="left" vertical="center" indent="3"/>
    </xf>
    <xf numFmtId="0" fontId="30" fillId="13" borderId="8" xfId="0" applyFont="1" applyFill="1" applyBorder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5" borderId="1" xfId="0" applyFont="1" applyFill="1" applyBorder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30" fillId="13" borderId="1" xfId="0" applyFont="1" applyFill="1" applyBorder="1" applyAlignment="1">
      <alignment horizontal="left" vertical="center" indent="1"/>
    </xf>
    <xf numFmtId="0" fontId="23" fillId="5" borderId="0" xfId="0" quotePrefix="1" applyFont="1" applyFill="1" applyAlignment="1">
      <alignment horizontal="left" vertical="center" indent="3"/>
    </xf>
    <xf numFmtId="0" fontId="40" fillId="4" borderId="0" xfId="0" applyFont="1" applyFill="1" applyAlignment="1">
      <alignment horizontal="left" vertical="center" indent="1"/>
    </xf>
    <xf numFmtId="0" fontId="23" fillId="5" borderId="13" xfId="0" applyFont="1" applyFill="1" applyBorder="1" applyAlignment="1">
      <alignment horizontal="left" vertical="center" indent="3"/>
    </xf>
    <xf numFmtId="0" fontId="23" fillId="7" borderId="13" xfId="0" applyFont="1" applyFill="1" applyBorder="1" applyAlignment="1">
      <alignment horizontal="center" vertical="center"/>
    </xf>
    <xf numFmtId="0" fontId="30" fillId="2" borderId="13" xfId="0" applyFont="1" applyFill="1" applyBorder="1" applyAlignment="1">
      <alignment horizontal="left" vertical="center" indent="1"/>
    </xf>
    <xf numFmtId="0" fontId="30" fillId="2" borderId="1" xfId="0" applyFont="1" applyFill="1" applyBorder="1" applyAlignment="1">
      <alignment horizontal="left" vertical="center" indent="1"/>
    </xf>
    <xf numFmtId="0" fontId="35" fillId="6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left" vertical="center" indent="2"/>
    </xf>
    <xf numFmtId="177" fontId="23" fillId="7" borderId="16" xfId="0" applyNumberFormat="1" applyFont="1" applyFill="1" applyBorder="1" applyAlignment="1">
      <alignment horizontal="left" vertical="center" indent="1"/>
    </xf>
    <xf numFmtId="0" fontId="45" fillId="7" borderId="16" xfId="0" applyFont="1" applyFill="1" applyBorder="1" applyAlignment="1">
      <alignment horizontal="left" vertical="center" indent="1"/>
    </xf>
    <xf numFmtId="177" fontId="23" fillId="6" borderId="16" xfId="0" applyNumberFormat="1" applyFont="1" applyFill="1" applyBorder="1" applyAlignment="1">
      <alignment horizontal="left" vertical="center" indent="1"/>
    </xf>
    <xf numFmtId="0" fontId="45" fillId="6" borderId="16" xfId="0" applyFont="1" applyFill="1" applyBorder="1" applyAlignment="1">
      <alignment horizontal="left" vertical="center" indent="1"/>
    </xf>
    <xf numFmtId="177" fontId="23" fillId="5" borderId="16" xfId="0" applyNumberFormat="1" applyFont="1" applyFill="1" applyBorder="1" applyAlignment="1">
      <alignment horizontal="left" vertical="center" indent="1"/>
    </xf>
    <xf numFmtId="0" fontId="45" fillId="5" borderId="16" xfId="0" applyFont="1" applyFill="1" applyBorder="1" applyAlignment="1">
      <alignment horizontal="left" vertical="center" indent="1"/>
    </xf>
    <xf numFmtId="0" fontId="40" fillId="4" borderId="16" xfId="0" applyFont="1" applyFill="1" applyBorder="1" applyAlignment="1">
      <alignment horizontal="left" vertical="center" indent="1"/>
    </xf>
    <xf numFmtId="0" fontId="46" fillId="4" borderId="16" xfId="0" applyFont="1" applyFill="1" applyBorder="1" applyAlignment="1">
      <alignment horizontal="left" vertical="center" indent="1"/>
    </xf>
    <xf numFmtId="0" fontId="46" fillId="0" borderId="0" xfId="0" applyFont="1" applyAlignment="1">
      <alignment horizontal="center" vertical="center"/>
    </xf>
    <xf numFmtId="0" fontId="30" fillId="13" borderId="16" xfId="0" applyFont="1" applyFill="1" applyBorder="1" applyAlignment="1">
      <alignment horizontal="left" vertical="center" indent="1"/>
    </xf>
    <xf numFmtId="0" fontId="30" fillId="2" borderId="16" xfId="0" applyFont="1" applyFill="1" applyBorder="1" applyAlignment="1">
      <alignment horizontal="left" vertical="center" indent="1"/>
    </xf>
    <xf numFmtId="0" fontId="45" fillId="3" borderId="16" xfId="0" applyFont="1" applyFill="1" applyBorder="1" applyAlignment="1">
      <alignment horizontal="left" vertical="center" indent="1"/>
    </xf>
    <xf numFmtId="0" fontId="17" fillId="7" borderId="15" xfId="0" applyFont="1" applyFill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7" fillId="0" borderId="0" xfId="0" applyFont="1" applyAlignment="1">
      <alignment horizontal="left" vertical="center" indent="1"/>
    </xf>
    <xf numFmtId="0" fontId="47" fillId="0" borderId="0" xfId="0" applyFont="1" applyAlignment="1">
      <alignment horizontal="center" vertical="center"/>
    </xf>
    <xf numFmtId="0" fontId="47" fillId="0" borderId="0" xfId="0" applyFont="1" applyAlignment="1">
      <alignment horizontal="left" vertical="center" indent="3"/>
    </xf>
    <xf numFmtId="0" fontId="47" fillId="0" borderId="0" xfId="0" applyFont="1" applyAlignment="1">
      <alignment horizontal="left" vertical="center"/>
    </xf>
    <xf numFmtId="0" fontId="48" fillId="0" borderId="0" xfId="0" applyFont="1" applyAlignment="1">
      <alignment horizontal="left" vertical="center"/>
    </xf>
    <xf numFmtId="0" fontId="25" fillId="2" borderId="0" xfId="0" applyFont="1" applyFill="1" applyAlignment="1">
      <alignment horizontal="left" vertical="center"/>
    </xf>
    <xf numFmtId="0" fontId="47" fillId="2" borderId="0" xfId="0" applyFont="1" applyFill="1" applyAlignment="1">
      <alignment horizontal="left" vertical="center" indent="1"/>
    </xf>
    <xf numFmtId="0" fontId="49" fillId="0" borderId="0" xfId="2"/>
    <xf numFmtId="0" fontId="50" fillId="0" borderId="0" xfId="0" applyFont="1" applyAlignment="1">
      <alignment horizontal="left" vertical="center"/>
    </xf>
    <xf numFmtId="0" fontId="52" fillId="0" borderId="0" xfId="2" applyFont="1"/>
    <xf numFmtId="0" fontId="53" fillId="0" borderId="0" xfId="0" applyFont="1" applyAlignment="1">
      <alignment horizontal="left" vertical="center" indent="1"/>
    </xf>
    <xf numFmtId="0" fontId="45" fillId="3" borderId="3" xfId="0" applyFont="1" applyFill="1" applyBorder="1" applyAlignment="1">
      <alignment horizontal="center" vertical="center"/>
    </xf>
    <xf numFmtId="0" fontId="45" fillId="7" borderId="4" xfId="0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54" fillId="6" borderId="0" xfId="0" applyFont="1" applyFill="1" applyAlignment="1">
      <alignment horizontal="center" vertical="center"/>
    </xf>
    <xf numFmtId="0" fontId="54" fillId="5" borderId="0" xfId="0" applyFont="1" applyFill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6" borderId="13" xfId="0" applyFont="1" applyFill="1" applyBorder="1" applyAlignment="1">
      <alignment horizontal="center" vertical="center"/>
    </xf>
    <xf numFmtId="0" fontId="45" fillId="7" borderId="14" xfId="0" applyFont="1" applyFill="1" applyBorder="1" applyAlignment="1">
      <alignment horizontal="center" vertical="center"/>
    </xf>
    <xf numFmtId="0" fontId="54" fillId="14" borderId="0" xfId="0" applyFont="1" applyFill="1" applyAlignment="1">
      <alignment horizontal="left" vertical="center"/>
    </xf>
    <xf numFmtId="0" fontId="45" fillId="3" borderId="12" xfId="0" applyFont="1" applyFill="1" applyBorder="1" applyAlignment="1">
      <alignment horizontal="center" vertical="center"/>
    </xf>
    <xf numFmtId="0" fontId="45" fillId="7" borderId="13" xfId="0" applyFont="1" applyFill="1" applyBorder="1" applyAlignment="1">
      <alignment horizontal="center" vertical="center"/>
    </xf>
    <xf numFmtId="0" fontId="42" fillId="4" borderId="13" xfId="0" applyFont="1" applyFill="1" applyBorder="1" applyAlignment="1">
      <alignment horizontal="center" vertical="center"/>
    </xf>
    <xf numFmtId="0" fontId="54" fillId="5" borderId="13" xfId="0" applyFont="1" applyFill="1" applyBorder="1" applyAlignment="1">
      <alignment horizontal="center" vertical="center"/>
    </xf>
    <xf numFmtId="0" fontId="45" fillId="3" borderId="17" xfId="0" applyFont="1" applyFill="1" applyBorder="1" applyAlignment="1">
      <alignment horizontal="center" vertical="center"/>
    </xf>
    <xf numFmtId="0" fontId="45" fillId="7" borderId="17" xfId="0" applyFont="1" applyFill="1" applyBorder="1" applyAlignment="1">
      <alignment horizontal="center" vertical="center"/>
    </xf>
    <xf numFmtId="0" fontId="42" fillId="4" borderId="17" xfId="0" applyFont="1" applyFill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55" fillId="0" borderId="0" xfId="2" applyFont="1"/>
    <xf numFmtId="0" fontId="21" fillId="0" borderId="6" xfId="1" applyFont="1" applyBorder="1" applyAlignment="1">
      <alignment horizontal="center"/>
    </xf>
    <xf numFmtId="0" fontId="20" fillId="0" borderId="6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30" fillId="12" borderId="1" xfId="0" applyFont="1" applyFill="1" applyBorder="1" applyAlignment="1">
      <alignment horizontal="left" vertical="center" indent="1"/>
    </xf>
    <xf numFmtId="177" fontId="10" fillId="4" borderId="1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14" borderId="0" xfId="0" applyFont="1" applyFill="1" applyAlignment="1">
      <alignment horizontal="left" vertical="center"/>
    </xf>
    <xf numFmtId="0" fontId="23" fillId="6" borderId="2" xfId="0" applyFont="1" applyFill="1" applyBorder="1" applyAlignment="1">
      <alignment horizontal="center" vertical="center"/>
    </xf>
    <xf numFmtId="0" fontId="37" fillId="7" borderId="1" xfId="0" quotePrefix="1" applyFont="1" applyFill="1" applyBorder="1" applyAlignment="1">
      <alignment horizontal="center" vertical="center"/>
    </xf>
    <xf numFmtId="0" fontId="56" fillId="2" borderId="0" xfId="0" applyFont="1" applyFill="1" applyAlignment="1">
      <alignment horizontal="left" vertical="center" indent="1"/>
    </xf>
    <xf numFmtId="0" fontId="30" fillId="12" borderId="0" xfId="0" applyFont="1" applyFill="1" applyAlignment="1">
      <alignment horizontal="left" vertical="center" indent="1"/>
    </xf>
    <xf numFmtId="177" fontId="10" fillId="4" borderId="0" xfId="0" applyNumberFormat="1" applyFont="1" applyFill="1" applyAlignment="1">
      <alignment horizontal="center" vertical="center"/>
    </xf>
    <xf numFmtId="0" fontId="23" fillId="6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 indent="1"/>
    </xf>
    <xf numFmtId="0" fontId="35" fillId="6" borderId="4" xfId="0" applyFont="1" applyFill="1" applyBorder="1" applyAlignment="1">
      <alignment horizontal="center" vertical="center"/>
    </xf>
    <xf numFmtId="0" fontId="30" fillId="12" borderId="8" xfId="0" applyFont="1" applyFill="1" applyBorder="1" applyAlignment="1">
      <alignment horizontal="left" vertical="center" indent="1"/>
    </xf>
    <xf numFmtId="177" fontId="10" fillId="4" borderId="8" xfId="0" applyNumberFormat="1" applyFont="1" applyFill="1" applyBorder="1" applyAlignment="1">
      <alignment horizontal="center" vertical="center"/>
    </xf>
    <xf numFmtId="0" fontId="23" fillId="5" borderId="8" xfId="0" quotePrefix="1" applyFont="1" applyFill="1" applyBorder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14" borderId="0" xfId="0" quotePrefix="1" applyFont="1" applyFill="1" applyAlignment="1">
      <alignment horizontal="left" vertical="center"/>
    </xf>
    <xf numFmtId="0" fontId="23" fillId="6" borderId="9" xfId="0" applyFont="1" applyFill="1" applyBorder="1" applyAlignment="1">
      <alignment horizontal="center" vertical="center"/>
    </xf>
    <xf numFmtId="0" fontId="23" fillId="7" borderId="1" xfId="0" quotePrefix="1" applyFont="1" applyFill="1" applyBorder="1" applyAlignment="1">
      <alignment horizontal="center" vertical="center"/>
    </xf>
    <xf numFmtId="0" fontId="46" fillId="0" borderId="0" xfId="0" applyFont="1" applyAlignment="1">
      <alignment horizontal="left" vertical="center" indent="1"/>
    </xf>
    <xf numFmtId="0" fontId="57" fillId="0" borderId="0" xfId="2" applyFont="1"/>
    <xf numFmtId="0" fontId="34" fillId="4" borderId="8" xfId="0" applyFont="1" applyFill="1" applyBorder="1" applyAlignment="1">
      <alignment horizontal="center" vertical="center"/>
    </xf>
    <xf numFmtId="177" fontId="34" fillId="4" borderId="8" xfId="0" applyNumberFormat="1" applyFont="1" applyFill="1" applyBorder="1" applyAlignment="1">
      <alignment horizontal="center" vertical="center"/>
    </xf>
    <xf numFmtId="0" fontId="58" fillId="0" borderId="0" xfId="2" applyFont="1"/>
    <xf numFmtId="0" fontId="23" fillId="14" borderId="1" xfId="0" applyFont="1" applyFill="1" applyBorder="1" applyAlignment="1">
      <alignment horizontal="left" vertical="center"/>
    </xf>
    <xf numFmtId="0" fontId="59" fillId="0" borderId="0" xfId="2" applyFont="1"/>
    <xf numFmtId="0" fontId="23" fillId="14" borderId="8" xfId="0" applyFont="1" applyFill="1" applyBorder="1" applyAlignment="1">
      <alignment horizontal="left" vertical="center"/>
    </xf>
    <xf numFmtId="0" fontId="30" fillId="12" borderId="13" xfId="0" applyFont="1" applyFill="1" applyBorder="1" applyAlignment="1">
      <alignment horizontal="left" vertical="center" indent="1"/>
    </xf>
    <xf numFmtId="177" fontId="34" fillId="4" borderId="13" xfId="0" applyNumberFormat="1" applyFont="1" applyFill="1" applyBorder="1" applyAlignment="1">
      <alignment horizontal="center" vertical="center"/>
    </xf>
    <xf numFmtId="0" fontId="35" fillId="6" borderId="13" xfId="0" applyFont="1" applyFill="1" applyBorder="1" applyAlignment="1">
      <alignment horizontal="center" vertical="center"/>
    </xf>
    <xf numFmtId="0" fontId="23" fillId="5" borderId="13" xfId="0" quotePrefix="1" applyFont="1" applyFill="1" applyBorder="1" applyAlignment="1">
      <alignment horizontal="left" vertical="center" indent="3"/>
    </xf>
    <xf numFmtId="0" fontId="35" fillId="6" borderId="1" xfId="0" applyFont="1" applyFill="1" applyBorder="1" applyAlignment="1">
      <alignment horizontal="center" vertical="center"/>
    </xf>
    <xf numFmtId="0" fontId="23" fillId="14" borderId="1" xfId="0" quotePrefix="1" applyFont="1" applyFill="1" applyBorder="1" applyAlignment="1">
      <alignment horizontal="left" vertical="center"/>
    </xf>
    <xf numFmtId="0" fontId="60" fillId="0" borderId="6" xfId="1" applyFont="1" applyBorder="1" applyAlignment="1">
      <alignment horizontal="center"/>
    </xf>
    <xf numFmtId="0" fontId="30" fillId="15" borderId="0" xfId="0" applyFont="1" applyFill="1" applyAlignment="1">
      <alignment horizontal="left" vertical="center" indent="1"/>
    </xf>
    <xf numFmtId="0" fontId="23" fillId="7" borderId="0" xfId="0" quotePrefix="1" applyFont="1" applyFill="1" applyAlignment="1">
      <alignment horizontal="center" vertical="center"/>
    </xf>
    <xf numFmtId="0" fontId="61" fillId="7" borderId="0" xfId="0" quotePrefix="1" applyFont="1" applyFill="1" applyAlignment="1">
      <alignment horizontal="center" vertical="center"/>
    </xf>
    <xf numFmtId="0" fontId="62" fillId="4" borderId="0" xfId="0" applyFont="1" applyFill="1" applyAlignment="1">
      <alignment horizontal="center" vertical="center"/>
    </xf>
    <xf numFmtId="0" fontId="61" fillId="5" borderId="0" xfId="0" applyFont="1" applyFill="1" applyAlignment="1">
      <alignment horizontal="left" vertical="center" indent="3"/>
    </xf>
    <xf numFmtId="0" fontId="61" fillId="6" borderId="0" xfId="0" applyFont="1" applyFill="1" applyAlignment="1">
      <alignment horizontal="center" vertical="center"/>
    </xf>
    <xf numFmtId="0" fontId="61" fillId="7" borderId="0" xfId="0" applyFont="1" applyFill="1" applyAlignment="1">
      <alignment horizontal="center" vertical="center"/>
    </xf>
    <xf numFmtId="0" fontId="30" fillId="15" borderId="8" xfId="0" applyFont="1" applyFill="1" applyBorder="1" applyAlignment="1">
      <alignment horizontal="left" vertical="center" indent="1"/>
    </xf>
    <xf numFmtId="177" fontId="63" fillId="4" borderId="0" xfId="0" applyNumberFormat="1" applyFont="1" applyFill="1" applyAlignment="1">
      <alignment horizontal="center" vertical="center"/>
    </xf>
    <xf numFmtId="0" fontId="63" fillId="4" borderId="0" xfId="0" applyFont="1" applyFill="1" applyAlignment="1">
      <alignment horizontal="center" vertical="center"/>
    </xf>
    <xf numFmtId="0" fontId="64" fillId="7" borderId="0" xfId="0" quotePrefix="1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4" fillId="5" borderId="0" xfId="0" applyFont="1" applyFill="1" applyAlignment="1">
      <alignment horizontal="left" vertical="center" indent="3"/>
    </xf>
    <xf numFmtId="0" fontId="64" fillId="6" borderId="0" xfId="0" applyFont="1" applyFill="1" applyAlignment="1">
      <alignment horizontal="center" vertical="center"/>
    </xf>
    <xf numFmtId="0" fontId="23" fillId="7" borderId="8" xfId="0" quotePrefix="1" applyFont="1" applyFill="1" applyBorder="1" applyAlignment="1">
      <alignment horizontal="center" vertical="center"/>
    </xf>
    <xf numFmtId="0" fontId="30" fillId="15" borderId="1" xfId="0" applyFont="1" applyFill="1" applyBorder="1" applyAlignment="1">
      <alignment horizontal="left" vertical="center" indent="1"/>
    </xf>
    <xf numFmtId="177" fontId="31" fillId="4" borderId="1" xfId="0" applyNumberFormat="1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3"/>
    </xf>
    <xf numFmtId="177" fontId="31" fillId="4" borderId="0" xfId="0" applyNumberFormat="1" applyFont="1" applyFill="1" applyAlignment="1">
      <alignment horizontal="center" vertical="center"/>
    </xf>
    <xf numFmtId="177" fontId="31" fillId="4" borderId="8" xfId="0" applyNumberFormat="1" applyFont="1" applyFill="1" applyBorder="1" applyAlignment="1">
      <alignment horizontal="center" vertical="center"/>
    </xf>
    <xf numFmtId="0" fontId="31" fillId="4" borderId="8" xfId="0" applyFont="1" applyFill="1" applyBorder="1" applyAlignment="1">
      <alignment horizontal="center" vertical="center"/>
    </xf>
    <xf numFmtId="0" fontId="23" fillId="14" borderId="8" xfId="0" quotePrefix="1" applyFont="1" applyFill="1" applyBorder="1" applyAlignment="1">
      <alignment horizontal="left" vertical="center"/>
    </xf>
    <xf numFmtId="0" fontId="10" fillId="4" borderId="0" xfId="0" quotePrefix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6" borderId="0" xfId="0" applyFont="1" applyFill="1" applyAlignment="1">
      <alignment horizontal="left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68" fillId="0" borderId="0" xfId="2" applyFont="1"/>
    <xf numFmtId="0" fontId="49" fillId="0" borderId="0" xfId="2" applyAlignment="1">
      <alignment horizontal="left" vertical="center"/>
    </xf>
    <xf numFmtId="0" fontId="69" fillId="0" borderId="0" xfId="2" applyFont="1"/>
    <xf numFmtId="0" fontId="70" fillId="0" borderId="0" xfId="0" applyFont="1"/>
    <xf numFmtId="0" fontId="71" fillId="0" borderId="0" xfId="0" applyFont="1"/>
    <xf numFmtId="0" fontId="72" fillId="0" borderId="0" xfId="2" applyFont="1" applyAlignment="1">
      <alignment horizontal="center"/>
    </xf>
    <xf numFmtId="0" fontId="75" fillId="0" borderId="0" xfId="2" applyFont="1"/>
    <xf numFmtId="0" fontId="5" fillId="0" borderId="0" xfId="1" applyFont="1" applyAlignment="1">
      <alignment horizontal="left" vertical="center"/>
    </xf>
    <xf numFmtId="0" fontId="67" fillId="0" borderId="0" xfId="2" applyFont="1"/>
    <xf numFmtId="0" fontId="71" fillId="0" borderId="0" xfId="2" applyFont="1"/>
    <xf numFmtId="177" fontId="76" fillId="6" borderId="21" xfId="2" applyNumberFormat="1" applyFont="1" applyFill="1" applyBorder="1" applyAlignment="1">
      <alignment horizontal="center" vertical="center"/>
    </xf>
    <xf numFmtId="0" fontId="73" fillId="6" borderId="0" xfId="2" applyFont="1" applyFill="1" applyAlignment="1">
      <alignment horizontal="center"/>
    </xf>
    <xf numFmtId="0" fontId="77" fillId="6" borderId="22" xfId="2" applyFont="1" applyFill="1" applyBorder="1" applyAlignment="1">
      <alignment horizontal="center"/>
    </xf>
    <xf numFmtId="0" fontId="73" fillId="6" borderId="21" xfId="2" applyFont="1" applyFill="1" applyBorder="1" applyAlignment="1">
      <alignment horizontal="center"/>
    </xf>
    <xf numFmtId="0" fontId="73" fillId="6" borderId="22" xfId="2" applyFont="1" applyFill="1" applyBorder="1" applyAlignment="1">
      <alignment horizontal="center"/>
    </xf>
    <xf numFmtId="0" fontId="73" fillId="16" borderId="21" xfId="2" applyFont="1" applyFill="1" applyBorder="1" applyAlignment="1">
      <alignment horizontal="center"/>
    </xf>
    <xf numFmtId="0" fontId="73" fillId="16" borderId="0" xfId="2" applyFont="1" applyFill="1" applyAlignment="1">
      <alignment horizontal="center"/>
    </xf>
    <xf numFmtId="0" fontId="73" fillId="16" borderId="22" xfId="2" applyFont="1" applyFill="1" applyBorder="1" applyAlignment="1">
      <alignment horizontal="center"/>
    </xf>
    <xf numFmtId="9" fontId="73" fillId="16" borderId="21" xfId="2" applyNumberFormat="1" applyFont="1" applyFill="1" applyBorder="1" applyAlignment="1">
      <alignment horizontal="center"/>
    </xf>
    <xf numFmtId="9" fontId="73" fillId="16" borderId="0" xfId="2" applyNumberFormat="1" applyFont="1" applyFill="1" applyAlignment="1">
      <alignment horizontal="center"/>
    </xf>
    <xf numFmtId="9" fontId="73" fillId="16" borderId="22" xfId="2" applyNumberFormat="1" applyFont="1" applyFill="1" applyBorder="1" applyAlignment="1">
      <alignment horizontal="center"/>
    </xf>
    <xf numFmtId="177" fontId="76" fillId="7" borderId="21" xfId="2" applyNumberFormat="1" applyFont="1" applyFill="1" applyBorder="1" applyAlignment="1">
      <alignment horizontal="center" vertical="center"/>
    </xf>
    <xf numFmtId="0" fontId="73" fillId="7" borderId="0" xfId="2" applyFont="1" applyFill="1" applyAlignment="1">
      <alignment horizontal="center"/>
    </xf>
    <xf numFmtId="177" fontId="77" fillId="7" borderId="22" xfId="2" applyNumberFormat="1" applyFont="1" applyFill="1" applyBorder="1" applyAlignment="1">
      <alignment horizontal="center"/>
    </xf>
    <xf numFmtId="0" fontId="73" fillId="7" borderId="21" xfId="2" applyFont="1" applyFill="1" applyBorder="1" applyAlignment="1">
      <alignment horizontal="center"/>
    </xf>
    <xf numFmtId="0" fontId="73" fillId="7" borderId="22" xfId="2" applyFont="1" applyFill="1" applyBorder="1" applyAlignment="1">
      <alignment horizontal="center"/>
    </xf>
    <xf numFmtId="0" fontId="74" fillId="7" borderId="21" xfId="2" applyFont="1" applyFill="1" applyBorder="1" applyAlignment="1">
      <alignment horizontal="center"/>
    </xf>
    <xf numFmtId="0" fontId="74" fillId="7" borderId="0" xfId="2" applyFont="1" applyFill="1" applyAlignment="1">
      <alignment horizontal="center"/>
    </xf>
    <xf numFmtId="0" fontId="74" fillId="7" borderId="22" xfId="2" applyFont="1" applyFill="1" applyBorder="1" applyAlignment="1">
      <alignment horizontal="center"/>
    </xf>
    <xf numFmtId="0" fontId="45" fillId="7" borderId="2" xfId="0" applyFont="1" applyFill="1" applyBorder="1" applyAlignment="1">
      <alignment horizontal="center" vertical="center"/>
    </xf>
    <xf numFmtId="0" fontId="42" fillId="4" borderId="1" xfId="0" applyFont="1" applyFill="1" applyBorder="1" applyAlignment="1">
      <alignment horizontal="center" vertical="center"/>
    </xf>
    <xf numFmtId="0" fontId="54" fillId="6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78" fillId="6" borderId="23" xfId="2" applyNumberFormat="1" applyFont="1" applyFill="1" applyBorder="1" applyAlignment="1">
      <alignment horizontal="center" vertical="center"/>
    </xf>
    <xf numFmtId="177" fontId="79" fillId="6" borderId="24" xfId="2" applyNumberFormat="1" applyFont="1" applyFill="1" applyBorder="1" applyAlignment="1">
      <alignment vertical="center"/>
    </xf>
    <xf numFmtId="0" fontId="80" fillId="6" borderId="25" xfId="2" applyFont="1" applyFill="1" applyBorder="1" applyAlignment="1">
      <alignment horizontal="center" vertical="center" wrapText="1"/>
    </xf>
    <xf numFmtId="0" fontId="80" fillId="6" borderId="25" xfId="2" applyFont="1" applyFill="1" applyBorder="1" applyAlignment="1">
      <alignment horizontal="center" vertical="center"/>
    </xf>
    <xf numFmtId="0" fontId="82" fillId="16" borderId="25" xfId="2" applyFont="1" applyFill="1" applyBorder="1" applyAlignment="1">
      <alignment vertical="center"/>
    </xf>
    <xf numFmtId="177" fontId="78" fillId="7" borderId="23" xfId="2" applyNumberFormat="1" applyFont="1" applyFill="1" applyBorder="1" applyAlignment="1">
      <alignment horizontal="center" vertical="center"/>
    </xf>
    <xf numFmtId="177" fontId="79" fillId="7" borderId="24" xfId="2" applyNumberFormat="1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 wrapText="1"/>
    </xf>
    <xf numFmtId="0" fontId="78" fillId="7" borderId="24" xfId="2" applyFont="1" applyFill="1" applyBorder="1" applyAlignment="1">
      <alignment vertical="center"/>
    </xf>
    <xf numFmtId="177" fontId="80" fillId="7" borderId="25" xfId="2" applyNumberFormat="1" applyFont="1" applyFill="1" applyBorder="1" applyAlignment="1">
      <alignment horizontal="center" vertical="center"/>
    </xf>
    <xf numFmtId="0" fontId="78" fillId="7" borderId="23" xfId="2" applyFont="1" applyFill="1" applyBorder="1" applyAlignment="1">
      <alignment vertical="center"/>
    </xf>
    <xf numFmtId="0" fontId="83" fillId="7" borderId="25" xfId="2" applyFont="1" applyFill="1" applyBorder="1" applyAlignment="1">
      <alignment vertical="center"/>
    </xf>
    <xf numFmtId="0" fontId="84" fillId="0" borderId="0" xfId="1" applyFont="1"/>
    <xf numFmtId="0" fontId="69" fillId="2" borderId="0" xfId="2" applyFont="1" applyFill="1"/>
    <xf numFmtId="0" fontId="85" fillId="0" borderId="0" xfId="0" applyFont="1"/>
    <xf numFmtId="177" fontId="73" fillId="6" borderId="21" xfId="2" applyNumberFormat="1" applyFont="1" applyFill="1" applyBorder="1" applyAlignment="1">
      <alignment horizontal="center"/>
    </xf>
    <xf numFmtId="177" fontId="73" fillId="6" borderId="22" xfId="2" applyNumberFormat="1" applyFont="1" applyFill="1" applyBorder="1" applyAlignment="1">
      <alignment horizontal="center"/>
    </xf>
    <xf numFmtId="177" fontId="78" fillId="6" borderId="23" xfId="2" applyNumberFormat="1" applyFont="1" applyFill="1" applyBorder="1" applyAlignment="1">
      <alignment vertical="center"/>
    </xf>
    <xf numFmtId="177" fontId="86" fillId="6" borderId="25" xfId="2" applyNumberFormat="1" applyFont="1" applyFill="1" applyBorder="1" applyAlignment="1">
      <alignment vertical="center" wrapText="1"/>
    </xf>
    <xf numFmtId="0" fontId="87" fillId="6" borderId="25" xfId="2" applyFont="1" applyFill="1" applyBorder="1" applyAlignment="1">
      <alignment vertical="center"/>
    </xf>
    <xf numFmtId="177" fontId="80" fillId="6" borderId="25" xfId="2" applyNumberFormat="1" applyFont="1" applyFill="1" applyBorder="1" applyAlignment="1">
      <alignment horizontal="center" vertical="center"/>
    </xf>
    <xf numFmtId="0" fontId="73" fillId="0" borderId="0" xfId="2" applyFont="1" applyAlignment="1">
      <alignment horizontal="center"/>
    </xf>
    <xf numFmtId="177" fontId="86" fillId="6" borderId="25" xfId="2" applyNumberFormat="1" applyFont="1" applyFill="1" applyBorder="1" applyAlignment="1">
      <alignment vertical="center"/>
    </xf>
    <xf numFmtId="177" fontId="88" fillId="6" borderId="23" xfId="2" applyNumberFormat="1" applyFont="1" applyFill="1" applyBorder="1" applyAlignment="1">
      <alignment horizontal="center" vertical="center"/>
    </xf>
    <xf numFmtId="177" fontId="89" fillId="7" borderId="21" xfId="2" applyNumberFormat="1" applyFont="1" applyFill="1" applyBorder="1" applyAlignment="1">
      <alignment horizontal="center" vertical="center"/>
    </xf>
    <xf numFmtId="177" fontId="87" fillId="6" borderId="25" xfId="2" applyNumberFormat="1" applyFont="1" applyFill="1" applyBorder="1" applyAlignment="1">
      <alignment vertical="center"/>
    </xf>
    <xf numFmtId="0" fontId="80" fillId="7" borderId="25" xfId="2" applyFont="1" applyFill="1" applyBorder="1" applyAlignment="1">
      <alignment horizontal="center" vertical="center" wrapText="1"/>
    </xf>
    <xf numFmtId="0" fontId="90" fillId="0" borderId="0" xfId="2" applyFont="1"/>
    <xf numFmtId="0" fontId="91" fillId="0" borderId="0" xfId="2" applyFont="1" applyAlignment="1">
      <alignment horizontal="center" vertical="center"/>
    </xf>
    <xf numFmtId="0" fontId="92" fillId="3" borderId="12" xfId="2" applyFont="1" applyFill="1" applyBorder="1" applyAlignment="1">
      <alignment vertical="center"/>
    </xf>
    <xf numFmtId="0" fontId="92" fillId="3" borderId="14" xfId="2" applyFont="1" applyFill="1" applyBorder="1" applyAlignment="1">
      <alignment vertical="center"/>
    </xf>
    <xf numFmtId="0" fontId="93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94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95" fillId="7" borderId="12" xfId="2" applyFont="1" applyFill="1" applyBorder="1" applyAlignment="1">
      <alignment vertical="center"/>
    </xf>
    <xf numFmtId="0" fontId="95" fillId="7" borderId="14" xfId="2" applyFont="1" applyFill="1" applyBorder="1" applyAlignment="1">
      <alignment vertical="center"/>
    </xf>
    <xf numFmtId="0" fontId="96" fillId="7" borderId="16" xfId="2" applyFont="1" applyFill="1" applyBorder="1" applyAlignment="1">
      <alignment horizontal="center" vertical="center"/>
    </xf>
    <xf numFmtId="0" fontId="95" fillId="18" borderId="12" xfId="2" applyFont="1" applyFill="1" applyBorder="1" applyAlignment="1">
      <alignment vertical="center"/>
    </xf>
    <xf numFmtId="0" fontId="95" fillId="18" borderId="14" xfId="2" applyFont="1" applyFill="1" applyBorder="1" applyAlignment="1">
      <alignment vertical="center"/>
    </xf>
    <xf numFmtId="0" fontId="96" fillId="18" borderId="16" xfId="2" applyFont="1" applyFill="1" applyBorder="1" applyAlignment="1">
      <alignment horizontal="center" vertical="center"/>
    </xf>
    <xf numFmtId="0" fontId="95" fillId="5" borderId="12" xfId="2" applyFont="1" applyFill="1" applyBorder="1" applyAlignment="1">
      <alignment vertical="center"/>
    </xf>
    <xf numFmtId="0" fontId="95" fillId="5" borderId="14" xfId="2" applyFont="1" applyFill="1" applyBorder="1" applyAlignment="1">
      <alignment vertical="center"/>
    </xf>
    <xf numFmtId="0" fontId="96" fillId="5" borderId="16" xfId="2" applyFont="1" applyFill="1" applyBorder="1" applyAlignment="1">
      <alignment horizontal="center" vertical="center"/>
    </xf>
    <xf numFmtId="0" fontId="59" fillId="0" borderId="0" xfId="2" applyFont="1" applyAlignment="1">
      <alignment vertical="center"/>
    </xf>
    <xf numFmtId="0" fontId="101" fillId="0" borderId="0" xfId="1" applyFont="1"/>
    <xf numFmtId="0" fontId="59" fillId="0" borderId="0" xfId="1" applyFont="1"/>
    <xf numFmtId="0" fontId="59" fillId="0" borderId="0" xfId="1" applyFont="1" applyAlignment="1">
      <alignment vertical="center"/>
    </xf>
    <xf numFmtId="0" fontId="106" fillId="0" borderId="0" xfId="1" applyFont="1" applyAlignment="1">
      <alignment vertical="center"/>
    </xf>
    <xf numFmtId="0" fontId="104" fillId="19" borderId="0" xfId="2" applyFont="1" applyFill="1" applyAlignment="1">
      <alignment vertical="center"/>
    </xf>
    <xf numFmtId="0" fontId="59" fillId="19" borderId="0" xfId="2" applyFont="1" applyFill="1" applyAlignment="1">
      <alignment vertical="center"/>
    </xf>
    <xf numFmtId="0" fontId="107" fillId="19" borderId="0" xfId="2" applyFont="1" applyFill="1" applyAlignment="1">
      <alignment vertical="center"/>
    </xf>
    <xf numFmtId="0" fontId="108" fillId="20" borderId="0" xfId="2" applyFont="1" applyFill="1" applyAlignment="1">
      <alignment vertical="center"/>
    </xf>
    <xf numFmtId="0" fontId="59" fillId="20" borderId="0" xfId="2" applyFont="1" applyFill="1" applyAlignment="1">
      <alignment vertical="center"/>
    </xf>
    <xf numFmtId="0" fontId="107" fillId="20" borderId="0" xfId="2" applyFont="1" applyFill="1" applyAlignment="1">
      <alignment vertical="center"/>
    </xf>
    <xf numFmtId="0" fontId="59" fillId="21" borderId="0" xfId="2" applyFont="1" applyFill="1" applyAlignment="1">
      <alignment vertical="center"/>
    </xf>
    <xf numFmtId="0" fontId="59" fillId="21" borderId="0" xfId="2" applyFont="1" applyFill="1"/>
    <xf numFmtId="0" fontId="27" fillId="2" borderId="0" xfId="1" applyFont="1" applyFill="1" applyAlignment="1">
      <alignment vertical="center"/>
    </xf>
    <xf numFmtId="0" fontId="59" fillId="2" borderId="0" xfId="1" applyFont="1" applyFill="1" applyAlignment="1">
      <alignment vertical="center"/>
    </xf>
    <xf numFmtId="0" fontId="27" fillId="21" borderId="0" xfId="1" applyFont="1" applyFill="1" applyAlignment="1">
      <alignment vertical="center"/>
    </xf>
    <xf numFmtId="0" fontId="59" fillId="21" borderId="0" xfId="1" applyFont="1" applyFill="1" applyAlignment="1">
      <alignment vertical="center"/>
    </xf>
    <xf numFmtId="0" fontId="101" fillId="0" borderId="0" xfId="1" applyFont="1" applyAlignment="1">
      <alignment vertical="center"/>
    </xf>
    <xf numFmtId="0" fontId="111" fillId="20" borderId="0" xfId="1" applyFont="1" applyFill="1" applyAlignment="1">
      <alignment vertical="center"/>
    </xf>
    <xf numFmtId="0" fontId="59" fillId="20" borderId="0" xfId="1" applyFont="1" applyFill="1" applyAlignment="1">
      <alignment horizontal="center" vertical="center"/>
    </xf>
    <xf numFmtId="0" fontId="59" fillId="20" borderId="0" xfId="1" applyFont="1" applyFill="1" applyAlignment="1">
      <alignment vertical="center"/>
    </xf>
    <xf numFmtId="0" fontId="112" fillId="17" borderId="0" xfId="1" applyFont="1" applyFill="1" applyAlignment="1">
      <alignment vertical="center"/>
    </xf>
    <xf numFmtId="0" fontId="112" fillId="17" borderId="0" xfId="1" applyFont="1" applyFill="1" applyAlignment="1">
      <alignment horizontal="center" vertical="center"/>
    </xf>
    <xf numFmtId="0" fontId="5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59" fillId="2" borderId="0" xfId="2" applyFont="1" applyFill="1"/>
    <xf numFmtId="0" fontId="49" fillId="0" borderId="0" xfId="2" applyAlignment="1">
      <alignment vertical="center"/>
    </xf>
    <xf numFmtId="0" fontId="97" fillId="22" borderId="12" xfId="2" applyFont="1" applyFill="1" applyBorder="1" applyAlignment="1">
      <alignment vertical="center"/>
    </xf>
    <xf numFmtId="0" fontId="98" fillId="22" borderId="14" xfId="2" applyFont="1" applyFill="1" applyBorder="1" applyAlignment="1">
      <alignment vertical="center"/>
    </xf>
    <xf numFmtId="0" fontId="99" fillId="22" borderId="16" xfId="2" applyFont="1" applyFill="1" applyBorder="1" applyAlignment="1">
      <alignment horizontal="center" vertical="center"/>
    </xf>
    <xf numFmtId="0" fontId="98" fillId="22" borderId="12" xfId="2" applyFont="1" applyFill="1" applyBorder="1" applyAlignment="1">
      <alignment vertical="center"/>
    </xf>
    <xf numFmtId="0" fontId="97" fillId="22" borderId="14" xfId="2" applyFont="1" applyFill="1" applyBorder="1" applyAlignment="1">
      <alignment vertical="center"/>
    </xf>
    <xf numFmtId="0" fontId="100" fillId="22" borderId="16" xfId="2" applyFont="1" applyFill="1" applyBorder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42" fillId="0" borderId="0" xfId="0" applyFont="1"/>
    <xf numFmtId="0" fontId="0" fillId="0" borderId="0" xfId="0" applyAlignment="1">
      <alignment horizontal="center" vertical="center"/>
    </xf>
    <xf numFmtId="0" fontId="114" fillId="24" borderId="0" xfId="0" applyFont="1" applyFill="1" applyAlignment="1">
      <alignment horizontal="center" vertical="center"/>
    </xf>
    <xf numFmtId="0" fontId="115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115" fillId="0" borderId="0" xfId="0" quotePrefix="1" applyFont="1" applyAlignment="1">
      <alignment horizontal="center" vertical="center"/>
    </xf>
    <xf numFmtId="0" fontId="117" fillId="0" borderId="0" xfId="0" applyFont="1"/>
    <xf numFmtId="0" fontId="115" fillId="19" borderId="0" xfId="0" applyFont="1" applyFill="1" applyAlignment="1">
      <alignment horizontal="center" vertical="center"/>
    </xf>
    <xf numFmtId="0" fontId="116" fillId="9" borderId="0" xfId="0" applyFont="1" applyFill="1" applyAlignment="1">
      <alignment horizontal="center"/>
    </xf>
    <xf numFmtId="0" fontId="119" fillId="0" borderId="0" xfId="0" applyFont="1"/>
    <xf numFmtId="0" fontId="120" fillId="0" borderId="0" xfId="0" applyFont="1"/>
    <xf numFmtId="0" fontId="118" fillId="0" borderId="0" xfId="0" applyFont="1"/>
    <xf numFmtId="0" fontId="121" fillId="25" borderId="0" xfId="0" applyFont="1" applyFill="1"/>
    <xf numFmtId="0" fontId="119" fillId="25" borderId="0" xfId="0" applyFont="1" applyFill="1"/>
    <xf numFmtId="0" fontId="120" fillId="25" borderId="0" xfId="0" applyFont="1" applyFill="1"/>
    <xf numFmtId="0" fontId="118" fillId="25" borderId="0" xfId="0" applyFont="1" applyFill="1"/>
    <xf numFmtId="0" fontId="122" fillId="9" borderId="0" xfId="0" applyFont="1" applyFill="1" applyAlignment="1">
      <alignment horizontal="center" vertical="center"/>
    </xf>
    <xf numFmtId="0" fontId="41" fillId="9" borderId="0" xfId="0" applyFont="1" applyFill="1" applyAlignment="1">
      <alignment horizontal="center" vertical="center"/>
    </xf>
    <xf numFmtId="0" fontId="124" fillId="23" borderId="0" xfId="0" applyFont="1" applyFill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1" fillId="9" borderId="0" xfId="0" applyFont="1" applyFill="1" applyAlignment="1">
      <alignment horizontal="left" vertical="center" indent="1"/>
    </xf>
    <xf numFmtId="0" fontId="41" fillId="9" borderId="0" xfId="0" quotePrefix="1" applyFont="1" applyFill="1" applyAlignment="1">
      <alignment horizontal="left" vertical="center" indent="1"/>
    </xf>
    <xf numFmtId="0" fontId="125" fillId="0" borderId="0" xfId="0" applyFont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23" fillId="23" borderId="0" xfId="0" applyFont="1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70" fillId="23" borderId="0" xfId="0" applyFont="1" applyFill="1" applyAlignment="1">
      <alignment horizontal="center" vertical="center"/>
    </xf>
    <xf numFmtId="0" fontId="115" fillId="23" borderId="0" xfId="0" applyFont="1" applyFill="1" applyAlignment="1">
      <alignment horizontal="center" vertical="center"/>
    </xf>
    <xf numFmtId="0" fontId="127" fillId="23" borderId="0" xfId="0" applyFont="1" applyFill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128" fillId="0" borderId="0" xfId="0" applyFont="1" applyAlignment="1">
      <alignment horizontal="center" vertical="center"/>
    </xf>
    <xf numFmtId="0" fontId="129" fillId="0" borderId="0" xfId="0" applyFont="1"/>
    <xf numFmtId="0" fontId="130" fillId="0" borderId="0" xfId="0" applyFont="1" applyAlignment="1">
      <alignment horizontal="center" vertical="center"/>
    </xf>
    <xf numFmtId="0" fontId="131" fillId="6" borderId="0" xfId="0" applyFont="1" applyFill="1" applyAlignment="1">
      <alignment horizontal="center" vertical="center"/>
    </xf>
    <xf numFmtId="0" fontId="132" fillId="7" borderId="0" xfId="0" applyFont="1" applyFill="1" applyAlignment="1">
      <alignment horizontal="center" vertical="center"/>
    </xf>
    <xf numFmtId="0" fontId="133" fillId="4" borderId="0" xfId="0" applyFont="1" applyFill="1" applyAlignment="1">
      <alignment horizontal="center" vertical="center"/>
    </xf>
    <xf numFmtId="0" fontId="132" fillId="5" borderId="0" xfId="0" applyFont="1" applyFill="1" applyAlignment="1">
      <alignment horizontal="left" vertical="center" indent="2"/>
    </xf>
    <xf numFmtId="0" fontId="134" fillId="6" borderId="0" xfId="0" applyFont="1" applyFill="1" applyAlignment="1">
      <alignment horizontal="center" vertical="center"/>
    </xf>
    <xf numFmtId="0" fontId="135" fillId="7" borderId="0" xfId="0" applyFont="1" applyFill="1" applyAlignment="1">
      <alignment horizontal="center" vertical="center"/>
    </xf>
    <xf numFmtId="0" fontId="136" fillId="4" borderId="0" xfId="0" applyFont="1" applyFill="1" applyAlignment="1">
      <alignment horizontal="center" vertical="center"/>
    </xf>
    <xf numFmtId="0" fontId="135" fillId="5" borderId="0" xfId="0" applyFont="1" applyFill="1" applyAlignment="1">
      <alignment horizontal="left" vertical="center" indent="2"/>
    </xf>
    <xf numFmtId="0" fontId="137" fillId="6" borderId="0" xfId="0" applyFont="1" applyFill="1" applyAlignment="1">
      <alignment horizontal="center" vertical="center"/>
    </xf>
    <xf numFmtId="0" fontId="138" fillId="6" borderId="0" xfId="0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176" fontId="139" fillId="6" borderId="0" xfId="0" applyNumberFormat="1" applyFont="1" applyFill="1" applyAlignment="1">
      <alignment horizontal="center" vertical="center"/>
    </xf>
    <xf numFmtId="0" fontId="140" fillId="2" borderId="0" xfId="0" applyFont="1" applyFill="1" applyAlignment="1">
      <alignment horizontal="center" vertical="center"/>
    </xf>
    <xf numFmtId="0" fontId="70" fillId="0" borderId="0" xfId="0" applyFont="1" applyAlignment="1">
      <alignment horizontal="center"/>
    </xf>
    <xf numFmtId="0" fontId="140" fillId="0" borderId="0" xfId="0" applyFont="1" applyAlignment="1">
      <alignment horizontal="left" vertical="center"/>
    </xf>
    <xf numFmtId="0" fontId="141" fillId="25" borderId="0" xfId="0" applyFont="1" applyFill="1"/>
    <xf numFmtId="0" fontId="142" fillId="2" borderId="15" xfId="0" applyFont="1" applyFill="1" applyBorder="1" applyAlignment="1">
      <alignment horizontal="center" vertical="center"/>
    </xf>
    <xf numFmtId="0" fontId="143" fillId="7" borderId="15" xfId="0" applyFont="1" applyFill="1" applyBorder="1" applyAlignment="1">
      <alignment horizontal="center" vertical="center"/>
    </xf>
    <xf numFmtId="0" fontId="141" fillId="4" borderId="15" xfId="0" applyFont="1" applyFill="1" applyBorder="1" applyAlignment="1">
      <alignment horizontal="center" vertical="center"/>
    </xf>
    <xf numFmtId="0" fontId="143" fillId="6" borderId="15" xfId="0" applyFont="1" applyFill="1" applyBorder="1" applyAlignment="1">
      <alignment horizontal="center" vertical="center"/>
    </xf>
    <xf numFmtId="0" fontId="143" fillId="5" borderId="15" xfId="0" applyFont="1" applyFill="1" applyBorder="1" applyAlignment="1">
      <alignment horizontal="center" vertical="center"/>
    </xf>
    <xf numFmtId="0" fontId="144" fillId="4" borderId="0" xfId="0" applyFont="1" applyFill="1" applyAlignment="1">
      <alignment horizontal="center" vertical="center"/>
    </xf>
    <xf numFmtId="0" fontId="145" fillId="4" borderId="0" xfId="0" applyFont="1" applyFill="1" applyAlignment="1">
      <alignment horizontal="center" vertical="center"/>
    </xf>
    <xf numFmtId="0" fontId="146" fillId="4" borderId="0" xfId="0" applyFont="1" applyFill="1" applyAlignment="1">
      <alignment horizontal="center" vertical="center"/>
    </xf>
    <xf numFmtId="0" fontId="119" fillId="2" borderId="0" xfId="0" applyFont="1" applyFill="1"/>
    <xf numFmtId="0" fontId="70" fillId="25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8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49" fillId="8" borderId="0" xfId="1" applyFont="1" applyFill="1" applyAlignment="1">
      <alignment horizontal="center"/>
    </xf>
    <xf numFmtId="0" fontId="149" fillId="9" borderId="0" xfId="1" applyFont="1" applyFill="1" applyAlignment="1">
      <alignment horizontal="center"/>
    </xf>
    <xf numFmtId="0" fontId="41" fillId="12" borderId="0" xfId="1" applyFont="1" applyFill="1"/>
    <xf numFmtId="0" fontId="18" fillId="0" borderId="0" xfId="0" applyFont="1" applyAlignment="1">
      <alignment horizontal="center" vertical="center"/>
    </xf>
    <xf numFmtId="0" fontId="41" fillId="0" borderId="0" xfId="1" applyFont="1" applyAlignment="1">
      <alignment horizontal="left"/>
    </xf>
    <xf numFmtId="0" fontId="143" fillId="3" borderId="15" xfId="0" applyFont="1" applyFill="1" applyBorder="1" applyAlignment="1">
      <alignment horizontal="center" vertical="center"/>
    </xf>
    <xf numFmtId="0" fontId="151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52" fillId="0" borderId="0" xfId="1" applyFont="1" applyAlignment="1">
      <alignment horizontal="left"/>
    </xf>
    <xf numFmtId="0" fontId="150" fillId="0" borderId="0" xfId="1" applyFont="1" applyAlignment="1">
      <alignment vertical="center"/>
    </xf>
    <xf numFmtId="0" fontId="150" fillId="0" borderId="0" xfId="1" applyFont="1" applyAlignment="1">
      <alignment horizontal="left" vertical="center" indent="1"/>
    </xf>
    <xf numFmtId="0" fontId="131" fillId="5" borderId="0" xfId="0" applyFont="1" applyFill="1" applyAlignment="1">
      <alignment horizontal="left" vertical="center" indent="1"/>
    </xf>
    <xf numFmtId="0" fontId="137" fillId="5" borderId="0" xfId="0" applyFont="1" applyFill="1" applyAlignment="1">
      <alignment horizontal="left" vertical="center" indent="1"/>
    </xf>
    <xf numFmtId="0" fontId="134" fillId="5" borderId="0" xfId="0" applyFont="1" applyFill="1" applyAlignment="1">
      <alignment horizontal="left" vertical="center" indent="1"/>
    </xf>
    <xf numFmtId="0" fontId="131" fillId="5" borderId="0" xfId="0" quotePrefix="1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53" fillId="4" borderId="0" xfId="0" applyFont="1" applyFill="1" applyAlignment="1">
      <alignment horizontal="center" vertical="center"/>
    </xf>
    <xf numFmtId="0" fontId="154" fillId="6" borderId="0" xfId="0" applyFont="1" applyFill="1" applyAlignment="1">
      <alignment horizontal="center" vertical="center"/>
    </xf>
    <xf numFmtId="0" fontId="154" fillId="5" borderId="0" xfId="0" applyFont="1" applyFill="1" applyAlignment="1">
      <alignment horizontal="left" vertical="center" indent="1"/>
    </xf>
    <xf numFmtId="0" fontId="5" fillId="25" borderId="0" xfId="1" applyFont="1" applyFill="1"/>
    <xf numFmtId="0" fontId="29" fillId="16" borderId="0" xfId="0" applyFont="1" applyFill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center" vertical="center"/>
    </xf>
    <xf numFmtId="0" fontId="155" fillId="16" borderId="0" xfId="0" applyFont="1" applyFill="1" applyAlignment="1">
      <alignment horizontal="left" vertical="center" indent="1"/>
    </xf>
    <xf numFmtId="0" fontId="84" fillId="0" borderId="0" xfId="1" applyFont="1" applyAlignment="1" applyProtection="1">
      <alignment vertical="center"/>
      <protection locked="0"/>
    </xf>
    <xf numFmtId="0" fontId="84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 applyProtection="1">
      <alignment horizontal="center" vertical="center"/>
      <protection locked="0"/>
    </xf>
    <xf numFmtId="0" fontId="6" fillId="0" borderId="0" xfId="1" applyFont="1" applyAlignment="1">
      <alignment horizontal="center" vertical="center"/>
    </xf>
    <xf numFmtId="0" fontId="149" fillId="0" borderId="0" xfId="1" applyFont="1" applyAlignment="1">
      <alignment horizontal="center" vertical="center"/>
    </xf>
    <xf numFmtId="0" fontId="156" fillId="4" borderId="0" xfId="1" applyFont="1" applyFill="1" applyAlignment="1" applyProtection="1">
      <alignment horizontal="center" vertical="center"/>
      <protection locked="0"/>
    </xf>
    <xf numFmtId="0" fontId="158" fillId="0" borderId="0" xfId="1" applyFont="1" applyAlignment="1">
      <alignment vertical="center"/>
    </xf>
    <xf numFmtId="0" fontId="151" fillId="11" borderId="10" xfId="1" applyFont="1" applyFill="1" applyBorder="1" applyAlignment="1">
      <alignment horizontal="center" vertical="center"/>
    </xf>
    <xf numFmtId="0" fontId="151" fillId="11" borderId="6" xfId="1" applyFont="1" applyFill="1" applyBorder="1" applyAlignment="1">
      <alignment horizontal="center" vertical="center"/>
    </xf>
    <xf numFmtId="0" fontId="151" fillId="11" borderId="11" xfId="1" applyFont="1" applyFill="1" applyBorder="1" applyAlignment="1">
      <alignment horizontal="center" vertical="center"/>
    </xf>
    <xf numFmtId="0" fontId="8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84" fillId="26" borderId="10" xfId="1" applyFont="1" applyFill="1" applyBorder="1" applyAlignment="1">
      <alignment horizontal="center" vertical="center"/>
    </xf>
    <xf numFmtId="0" fontId="20" fillId="26" borderId="11" xfId="1" applyFont="1" applyFill="1" applyBorder="1" applyAlignment="1">
      <alignment horizontal="left" vertical="center" indent="1"/>
    </xf>
    <xf numFmtId="0" fontId="159" fillId="2" borderId="0" xfId="1" applyFont="1" applyFill="1"/>
    <xf numFmtId="0" fontId="38" fillId="2" borderId="0" xfId="1" applyFont="1" applyFill="1"/>
    <xf numFmtId="0" fontId="16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9" borderId="0" xfId="1" quotePrefix="1" applyNumberFormat="1" applyFont="1" applyFill="1" applyAlignment="1">
      <alignment horizontal="center" vertical="center"/>
    </xf>
    <xf numFmtId="0" fontId="27" fillId="19" borderId="0" xfId="1" applyFont="1" applyFill="1" applyAlignment="1">
      <alignment horizontal="center" vertical="center"/>
    </xf>
    <xf numFmtId="0" fontId="39" fillId="0" borderId="0" xfId="1" applyFont="1" applyAlignment="1" applyProtection="1">
      <alignment horizontal="center" vertical="center"/>
      <protection locked="0"/>
    </xf>
    <xf numFmtId="0" fontId="150" fillId="0" borderId="0" xfId="1" applyFont="1" applyAlignment="1">
      <alignment horizontal="center" vertical="center"/>
    </xf>
    <xf numFmtId="0" fontId="161" fillId="5" borderId="0" xfId="0" applyFont="1" applyFill="1" applyAlignment="1">
      <alignment horizontal="center" vertical="center"/>
    </xf>
    <xf numFmtId="0" fontId="161" fillId="5" borderId="0" xfId="0" quotePrefix="1" applyFont="1" applyFill="1" applyAlignment="1">
      <alignment horizontal="center" vertical="center"/>
    </xf>
    <xf numFmtId="0" fontId="29" fillId="7" borderId="0" xfId="0" applyFont="1" applyFill="1" applyAlignment="1">
      <alignment horizontal="center" vertical="center"/>
    </xf>
    <xf numFmtId="0" fontId="155" fillId="6" borderId="0" xfId="0" applyFont="1" applyFill="1" applyAlignment="1">
      <alignment horizontal="center" vertical="center"/>
    </xf>
    <xf numFmtId="0" fontId="155" fillId="5" borderId="0" xfId="0" applyFont="1" applyFill="1" applyAlignment="1">
      <alignment horizontal="left" vertical="center" indent="1"/>
    </xf>
    <xf numFmtId="0" fontId="73" fillId="7" borderId="18" xfId="2" applyFont="1" applyFill="1" applyBorder="1" applyAlignment="1">
      <alignment horizontal="center"/>
    </xf>
    <xf numFmtId="0" fontId="73" fillId="7" borderId="19" xfId="2" applyFont="1" applyFill="1" applyBorder="1" applyAlignment="1">
      <alignment horizontal="center"/>
    </xf>
    <xf numFmtId="0" fontId="73" fillId="7" borderId="20" xfId="2" applyFont="1" applyFill="1" applyBorder="1" applyAlignment="1">
      <alignment horizontal="center"/>
    </xf>
    <xf numFmtId="0" fontId="74" fillId="7" borderId="18" xfId="2" applyFont="1" applyFill="1" applyBorder="1" applyAlignment="1">
      <alignment horizontal="center"/>
    </xf>
    <xf numFmtId="0" fontId="74" fillId="7" borderId="19" xfId="2" applyFont="1" applyFill="1" applyBorder="1" applyAlignment="1">
      <alignment horizontal="center"/>
    </xf>
    <xf numFmtId="0" fontId="74" fillId="7" borderId="20" xfId="2" applyFont="1" applyFill="1" applyBorder="1" applyAlignment="1">
      <alignment horizontal="center"/>
    </xf>
    <xf numFmtId="0" fontId="73" fillId="6" borderId="18" xfId="2" applyFont="1" applyFill="1" applyBorder="1" applyAlignment="1">
      <alignment horizontal="center"/>
    </xf>
    <xf numFmtId="0" fontId="73" fillId="6" borderId="19" xfId="2" applyFont="1" applyFill="1" applyBorder="1" applyAlignment="1">
      <alignment horizontal="center"/>
    </xf>
    <xf numFmtId="0" fontId="73" fillId="6" borderId="20" xfId="2" applyFont="1" applyFill="1" applyBorder="1" applyAlignment="1">
      <alignment horizontal="center"/>
    </xf>
    <xf numFmtId="0" fontId="78" fillId="7" borderId="23" xfId="2" applyFont="1" applyFill="1" applyBorder="1" applyAlignment="1">
      <alignment horizontal="center" vertical="center"/>
    </xf>
    <xf numFmtId="0" fontId="78" fillId="7" borderId="24" xfId="2" applyFont="1" applyFill="1" applyBorder="1" applyAlignment="1">
      <alignment horizontal="center" vertical="center"/>
    </xf>
    <xf numFmtId="0" fontId="81" fillId="16" borderId="23" xfId="2" applyFont="1" applyFill="1" applyBorder="1" applyAlignment="1">
      <alignment horizontal="center"/>
    </xf>
    <xf numFmtId="0" fontId="81" fillId="16" borderId="24" xfId="2" applyFont="1" applyFill="1" applyBorder="1" applyAlignment="1">
      <alignment horizontal="center"/>
    </xf>
    <xf numFmtId="0" fontId="28" fillId="16" borderId="23" xfId="2" applyFont="1" applyFill="1" applyBorder="1" applyAlignment="1">
      <alignment horizontal="center"/>
    </xf>
    <xf numFmtId="0" fontId="28" fillId="16" borderId="24" xfId="2" applyFont="1" applyFill="1" applyBorder="1" applyAlignment="1">
      <alignment horizontal="center"/>
    </xf>
    <xf numFmtId="0" fontId="73" fillId="16" borderId="18" xfId="2" applyFont="1" applyFill="1" applyBorder="1" applyAlignment="1">
      <alignment horizontal="center"/>
    </xf>
    <xf numFmtId="0" fontId="73" fillId="16" borderId="19" xfId="2" applyFont="1" applyFill="1" applyBorder="1" applyAlignment="1">
      <alignment horizontal="center"/>
    </xf>
    <xf numFmtId="0" fontId="73" fillId="16" borderId="20" xfId="2" applyFont="1" applyFill="1" applyBorder="1" applyAlignment="1">
      <alignment horizontal="center"/>
    </xf>
    <xf numFmtId="9" fontId="73" fillId="16" borderId="18" xfId="2" applyNumberFormat="1" applyFont="1" applyFill="1" applyBorder="1" applyAlignment="1">
      <alignment horizontal="center"/>
    </xf>
    <xf numFmtId="9" fontId="73" fillId="16" borderId="19" xfId="2" applyNumberFormat="1" applyFont="1" applyFill="1" applyBorder="1" applyAlignment="1">
      <alignment horizontal="center"/>
    </xf>
    <xf numFmtId="9" fontId="73" fillId="16" borderId="20" xfId="2" applyNumberFormat="1" applyFont="1" applyFill="1" applyBorder="1" applyAlignment="1">
      <alignment horizontal="center"/>
    </xf>
    <xf numFmtId="0" fontId="162" fillId="2" borderId="0" xfId="3" quotePrefix="1" applyFill="1"/>
    <xf numFmtId="0" fontId="29" fillId="27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center" vertical="center"/>
    </xf>
    <xf numFmtId="0" fontId="31" fillId="25" borderId="0" xfId="0" applyFont="1" applyFill="1" applyAlignment="1">
      <alignment horizontal="center" vertical="center"/>
    </xf>
    <xf numFmtId="0" fontId="155" fillId="27" borderId="0" xfId="0" applyFont="1" applyFill="1" applyAlignment="1">
      <alignment horizontal="left" vertical="center" indent="1"/>
    </xf>
  </cellXfs>
  <cellStyles count="4">
    <cellStyle name="一般" xfId="0" builtinId="0"/>
    <cellStyle name="一般 3 2" xfId="2" xr:uid="{703AF641-2554-41E3-A1E3-F082EFEA06AE}"/>
    <cellStyle name="一般 4" xfId="1" xr:uid="{D00E67AF-1809-4A9B-A488-D9A10688594D}"/>
    <cellStyle name="超連結" xfId="3" builtinId="8"/>
  </cellStyles>
  <dxfs count="27">
    <dxf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7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60</xdr:row>
      <xdr:rowOff>0</xdr:rowOff>
    </xdr:from>
    <xdr:to>
      <xdr:col>35</xdr:col>
      <xdr:colOff>428625</xdr:colOff>
      <xdr:row>60</xdr:row>
      <xdr:rowOff>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4E8E7847-1A49-4271-BC33-21F00D98D0C0}"/>
            </a:ext>
          </a:extLst>
        </xdr:cNvPr>
        <xdr:cNvCxnSpPr/>
      </xdr:nvCxnSpPr>
      <xdr:spPr>
        <a:xfrm>
          <a:off x="36556950" y="2413635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61</xdr:row>
      <xdr:rowOff>400050</xdr:rowOff>
    </xdr:from>
    <xdr:to>
      <xdr:col>35</xdr:col>
      <xdr:colOff>428625</xdr:colOff>
      <xdr:row>61</xdr:row>
      <xdr:rowOff>400050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C39F15FA-B39C-4A2D-8C38-6BC55C9EF078}"/>
            </a:ext>
          </a:extLst>
        </xdr:cNvPr>
        <xdr:cNvCxnSpPr/>
      </xdr:nvCxnSpPr>
      <xdr:spPr>
        <a:xfrm>
          <a:off x="36556950" y="249459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62</xdr:row>
      <xdr:rowOff>85725</xdr:rowOff>
    </xdr:from>
    <xdr:to>
      <xdr:col>35</xdr:col>
      <xdr:colOff>428625</xdr:colOff>
      <xdr:row>62</xdr:row>
      <xdr:rowOff>85725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FC5C0805-B4D5-4E8C-ADCA-8D54AE408FA5}"/>
            </a:ext>
          </a:extLst>
        </xdr:cNvPr>
        <xdr:cNvCxnSpPr/>
      </xdr:nvCxnSpPr>
      <xdr:spPr>
        <a:xfrm>
          <a:off x="37099875" y="25041225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14</xdr:row>
      <xdr:rowOff>0</xdr:rowOff>
    </xdr:from>
    <xdr:ext cx="9028571" cy="3714286"/>
    <xdr:pic>
      <xdr:nvPicPr>
        <xdr:cNvPr id="2" name="圖片 1">
          <a:extLst>
            <a:ext uri="{FF2B5EF4-FFF2-40B4-BE49-F238E27FC236}">
              <a16:creationId xmlns:a16="http://schemas.microsoft.com/office/drawing/2014/main" id="{8AA03739-29E2-45F9-B0E6-B0262B648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96925" y="3733800"/>
          <a:ext cx="9028571" cy="3714286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26" dataDxfId="25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14">
      <calculatedColumnFormula xml:space="preserve"> J3</calculatedColumnFormula>
    </tableColumn>
    <tableColumn id="4" xr3:uid="{7407D282-3312-489C-B29B-19D43E4E79D6}" name="注音編碼" dataDxfId="13" dataCellStyle="一般 4">
      <calculatedColumnFormula>I3</calculatedColumnFormula>
    </tableColumn>
    <tableColumn id="2" xr3:uid="{DAFEC160-B656-4EE0-9837-61A87BB277BC}" name="注音符號" dataDxfId="5" dataCellStyle="一般 4">
      <calculatedColumnFormula array="1" xml:space="preserve"> INDEX(注音編碼對照表!$E$3:$E$58, MATCH(TRUE, EXACT(表格1_33411[[#This Row],[注音編碼]], 注音編碼對照表!$D$3:$D$54), 0))</calculatedColumnFormula>
    </tableColumn>
    <tableColumn id="3" xr3:uid="{716636BA-FE9C-4F70-80B3-61C875130210}" name="拼音字母" dataDxfId="7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C9CA8A-8368-4141-B273-59CA62EE3358}" name="表格1_334115" displayName="表格1_334115" ref="U2:X54" totalsRowShown="0" headerRowDxfId="12" dataDxfId="11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BA62D46E-0A2E-4C2D-8D31-B877DD850063}" name="鍵盤按鍵" dataDxfId="10">
      <calculatedColumnFormula xml:space="preserve"> J3</calculatedColumnFormula>
    </tableColumn>
    <tableColumn id="4" xr3:uid="{AFDBEB5C-2BE7-45F0-8E6B-0F9B07EFAA27}" name="注音編碼" dataDxfId="9" dataCellStyle="一般 4">
      <calculatedColumnFormula>I3</calculatedColumnFormula>
    </tableColumn>
    <tableColumn id="2" xr3:uid="{76FD36F2-8DED-4743-8AA0-A22521DBF75D}" name="注音符號" dataDxfId="8" dataCellStyle="一般 4">
      <calculatedColumnFormula array="1" xml:space="preserve"> INDEX($N$3:$N$53, MATCH(TRUE, EXACT(表格1_33411[[#This Row],[鍵盤按鍵]], $M$3:$M$53), 0))</calculatedColumnFormula>
    </tableColumn>
    <tableColumn id="3" xr3:uid="{BC42609A-FC9E-4C37-82BF-1D00DF0E516F}" name="拼音字母" dataDxfId="6" dataCellStyle="一般 4">
      <calculatedColumnFormula array="1" xml:space="preserve"> INDEX(注音編碼對照表!$G$3:$G$58, MATCH(TRUE, EXACT(表格1_33411[[#This Row],[注音編碼]], 注音編碼對照表!$D$3:$D$54), 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6A4BE-CA72-47DE-AE0C-9F97AD29E366}" name="表格1" displayName="表格1" ref="C4:G56" totalsRowShown="0" tableBorderDxfId="24">
  <autoFilter ref="C4:G56" xr:uid="{CBD99B6E-1695-45CA-A35A-919D424705A0}"/>
  <tableColumns count="5">
    <tableColumn id="1" xr3:uid="{23C441A4-A9BF-4AF3-9A00-C54EFA849863}" name="按鍵字元" dataDxfId="23"/>
    <tableColumn id="2" xr3:uid="{BF68382C-29B0-42B3-B1E7-6BBFB43FDBF8}" name="注音符號" dataDxfId="22"/>
    <tableColumn id="3" xr3:uid="{53638260-1BF6-4965-A4AE-956982740802}" name="方音符號" dataDxfId="21"/>
    <tableColumn id="4" xr3:uid="{DCF6B5DB-F2BF-4A75-8F81-445A20F5EFEC}" name="音標編碼" dataDxfId="20"/>
    <tableColumn id="5" xr3:uid="{138EEA27-F029-4B76-B6E7-B073EAAE87F1}" name="台語音標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18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17">
      <calculatedColumnFormula>H3</calculatedColumnFormula>
    </tableColumn>
    <tableColumn id="4" xr3:uid="{52141FD4-4282-4655-8FDB-25D018179FEA}" name="字典編碼" dataDxfId="16" dataCellStyle="一般 4">
      <calculatedColumnFormula>G3</calculatedColumnFormula>
    </tableColumn>
    <tableColumn id="2" xr3:uid="{59B967E3-C71C-4CF6-991D-C8F093BAB101}" name="方音符號" dataDxfId="15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xlit%7CpbPmtTnlkgKhjzcsJZCSwiuMaOoeyxB@NGHWRDVIUAQEYX123570%7C1!qa2wsxeEdcbyhnBYHN?ujm8ik,9l.0p;:/-OAUJ*I%3c(L%2043657|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xlit%7CpbPmtTnlkgKhjzcsJZCSwiuMaOoeyxB@N[WRIUAQEYX%7D%7B]123570%7C1!qa2wsxeEdcbyhnBYHN?ujm8ik,9l.0p;/-UJ*I%3c(LOA:%2043657|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dimension ref="B2:J62"/>
  <sheetViews>
    <sheetView topLeftCell="A39" workbookViewId="0">
      <selection activeCell="E58" sqref="E58"/>
    </sheetView>
  </sheetViews>
  <sheetFormatPr defaultRowHeight="21"/>
  <cols>
    <col min="2" max="2" width="14.3984375" bestFit="1" customWidth="1"/>
    <col min="3" max="3" width="9.796875" bestFit="1" customWidth="1"/>
  </cols>
  <sheetData>
    <row r="2" spans="2:10">
      <c r="B2" t="s">
        <v>633</v>
      </c>
      <c r="C2" s="404" t="s">
        <v>634</v>
      </c>
      <c r="D2" s="404"/>
      <c r="E2" s="404"/>
      <c r="F2" s="404"/>
      <c r="G2" s="404"/>
      <c r="H2" s="404"/>
      <c r="I2" s="404"/>
      <c r="J2" s="404"/>
    </row>
    <row r="4" spans="2:10">
      <c r="B4" t="s">
        <v>635</v>
      </c>
      <c r="C4" s="405" t="s">
        <v>526</v>
      </c>
    </row>
    <row r="5" spans="2:10" ht="23.25">
      <c r="B5" t="s">
        <v>636</v>
      </c>
      <c r="C5" s="11">
        <f xml:space="preserve"> SEARCH($C$4,$C$2,1) + 1</f>
        <v>14</v>
      </c>
      <c r="D5" s="2"/>
    </row>
    <row r="6" spans="2:10" ht="23.25">
      <c r="B6" t="s">
        <v>637</v>
      </c>
      <c r="C6" s="11">
        <f xml:space="preserve"> SEARCH($C$4,$C$2,C5+1) - 1</f>
        <v>65</v>
      </c>
      <c r="D6" s="2"/>
    </row>
    <row r="7" spans="2:10">
      <c r="B7" t="s">
        <v>638</v>
      </c>
      <c r="C7" s="404" t="str">
        <f xml:space="preserve"> MID(C2, C5, C6-C5+1)</f>
        <v>1!qa2wsxeEdcbyhnBYHN?ujm8ik,9l.0p;/-UJ*I&lt;(LOA: 43657</v>
      </c>
      <c r="D7" s="404"/>
      <c r="E7" s="404"/>
      <c r="F7" s="404"/>
      <c r="G7" s="404"/>
      <c r="H7" s="404"/>
      <c r="I7" s="404"/>
      <c r="J7" s="404"/>
    </row>
    <row r="8" spans="2:10" ht="25.5">
      <c r="B8" t="s">
        <v>639</v>
      </c>
      <c r="C8" s="406">
        <f xml:space="preserve"> LEN(C7)</f>
        <v>52</v>
      </c>
    </row>
    <row r="11" spans="2:10">
      <c r="B11" s="237">
        <f xml:space="preserve"> ROW() - 10</f>
        <v>1</v>
      </c>
      <c r="C11" s="375" t="str">
        <f xml:space="preserve"> MID($C$7, B11,1)</f>
        <v>1</v>
      </c>
    </row>
    <row r="12" spans="2:10">
      <c r="B12" s="237">
        <f t="shared" ref="B12:B62" si="0" xml:space="preserve"> ROW() - 10</f>
        <v>2</v>
      </c>
      <c r="C12" s="375" t="str">
        <f t="shared" ref="C12:C62" si="1" xml:space="preserve"> MID($C$7, B12,1)</f>
        <v>!</v>
      </c>
    </row>
    <row r="13" spans="2:10">
      <c r="B13" s="237">
        <f t="shared" si="0"/>
        <v>3</v>
      </c>
      <c r="C13" s="375" t="str">
        <f t="shared" si="1"/>
        <v>q</v>
      </c>
    </row>
    <row r="14" spans="2:10">
      <c r="B14" s="237">
        <f t="shared" si="0"/>
        <v>4</v>
      </c>
      <c r="C14" s="375" t="str">
        <f t="shared" si="1"/>
        <v>a</v>
      </c>
    </row>
    <row r="15" spans="2:10">
      <c r="B15" s="237">
        <f t="shared" si="0"/>
        <v>5</v>
      </c>
      <c r="C15" s="375" t="str">
        <f t="shared" si="1"/>
        <v>2</v>
      </c>
    </row>
    <row r="16" spans="2:10">
      <c r="B16" s="237">
        <f t="shared" si="0"/>
        <v>6</v>
      </c>
      <c r="C16" s="375" t="str">
        <f t="shared" si="1"/>
        <v>w</v>
      </c>
    </row>
    <row r="17" spans="2:3">
      <c r="B17" s="237">
        <f t="shared" si="0"/>
        <v>7</v>
      </c>
      <c r="C17" s="375" t="str">
        <f t="shared" si="1"/>
        <v>s</v>
      </c>
    </row>
    <row r="18" spans="2:3">
      <c r="B18" s="237">
        <f t="shared" si="0"/>
        <v>8</v>
      </c>
      <c r="C18" s="375" t="str">
        <f t="shared" si="1"/>
        <v>x</v>
      </c>
    </row>
    <row r="19" spans="2:3">
      <c r="B19" s="237">
        <f t="shared" si="0"/>
        <v>9</v>
      </c>
      <c r="C19" s="375" t="str">
        <f t="shared" si="1"/>
        <v>e</v>
      </c>
    </row>
    <row r="20" spans="2:3">
      <c r="B20" s="237">
        <f t="shared" si="0"/>
        <v>10</v>
      </c>
      <c r="C20" s="375" t="str">
        <f t="shared" si="1"/>
        <v>E</v>
      </c>
    </row>
    <row r="21" spans="2:3">
      <c r="B21" s="237">
        <f t="shared" si="0"/>
        <v>11</v>
      </c>
      <c r="C21" s="375" t="str">
        <f t="shared" si="1"/>
        <v>d</v>
      </c>
    </row>
    <row r="22" spans="2:3">
      <c r="B22" s="237">
        <f t="shared" si="0"/>
        <v>12</v>
      </c>
      <c r="C22" s="375" t="str">
        <f t="shared" si="1"/>
        <v>c</v>
      </c>
    </row>
    <row r="23" spans="2:3">
      <c r="B23" s="237">
        <f t="shared" si="0"/>
        <v>13</v>
      </c>
      <c r="C23" s="375" t="str">
        <f t="shared" si="1"/>
        <v>b</v>
      </c>
    </row>
    <row r="24" spans="2:3">
      <c r="B24" s="237">
        <f t="shared" si="0"/>
        <v>14</v>
      </c>
      <c r="C24" s="375" t="str">
        <f t="shared" si="1"/>
        <v>y</v>
      </c>
    </row>
    <row r="25" spans="2:3">
      <c r="B25" s="237">
        <f t="shared" si="0"/>
        <v>15</v>
      </c>
      <c r="C25" s="375" t="str">
        <f t="shared" si="1"/>
        <v>h</v>
      </c>
    </row>
    <row r="26" spans="2:3">
      <c r="B26" s="237">
        <f t="shared" si="0"/>
        <v>16</v>
      </c>
      <c r="C26" s="375" t="str">
        <f t="shared" si="1"/>
        <v>n</v>
      </c>
    </row>
    <row r="27" spans="2:3">
      <c r="B27" s="237">
        <f t="shared" si="0"/>
        <v>17</v>
      </c>
      <c r="C27" s="375" t="str">
        <f t="shared" si="1"/>
        <v>B</v>
      </c>
    </row>
    <row r="28" spans="2:3">
      <c r="B28" s="237">
        <f t="shared" si="0"/>
        <v>18</v>
      </c>
      <c r="C28" s="375" t="str">
        <f t="shared" si="1"/>
        <v>Y</v>
      </c>
    </row>
    <row r="29" spans="2:3">
      <c r="B29" s="237">
        <f t="shared" si="0"/>
        <v>19</v>
      </c>
      <c r="C29" s="375" t="str">
        <f t="shared" si="1"/>
        <v>H</v>
      </c>
    </row>
    <row r="30" spans="2:3">
      <c r="B30" s="237">
        <f t="shared" si="0"/>
        <v>20</v>
      </c>
      <c r="C30" s="375" t="str">
        <f t="shared" si="1"/>
        <v>N</v>
      </c>
    </row>
    <row r="31" spans="2:3">
      <c r="B31" s="237">
        <f t="shared" si="0"/>
        <v>21</v>
      </c>
      <c r="C31" s="375" t="str">
        <f t="shared" si="1"/>
        <v>?</v>
      </c>
    </row>
    <row r="32" spans="2:3">
      <c r="B32" s="237">
        <f t="shared" si="0"/>
        <v>22</v>
      </c>
      <c r="C32" s="375" t="str">
        <f t="shared" si="1"/>
        <v>u</v>
      </c>
    </row>
    <row r="33" spans="2:3">
      <c r="B33" s="237">
        <f t="shared" si="0"/>
        <v>23</v>
      </c>
      <c r="C33" s="375" t="str">
        <f t="shared" si="1"/>
        <v>j</v>
      </c>
    </row>
    <row r="34" spans="2:3">
      <c r="B34" s="237">
        <f t="shared" si="0"/>
        <v>24</v>
      </c>
      <c r="C34" s="375" t="str">
        <f t="shared" si="1"/>
        <v>m</v>
      </c>
    </row>
    <row r="35" spans="2:3">
      <c r="B35" s="237">
        <f t="shared" si="0"/>
        <v>25</v>
      </c>
      <c r="C35" s="375" t="str">
        <f t="shared" si="1"/>
        <v>8</v>
      </c>
    </row>
    <row r="36" spans="2:3">
      <c r="B36" s="237">
        <f t="shared" si="0"/>
        <v>26</v>
      </c>
      <c r="C36" s="375" t="str">
        <f t="shared" si="1"/>
        <v>i</v>
      </c>
    </row>
    <row r="37" spans="2:3">
      <c r="B37" s="237">
        <f t="shared" si="0"/>
        <v>27</v>
      </c>
      <c r="C37" s="375" t="str">
        <f t="shared" si="1"/>
        <v>k</v>
      </c>
    </row>
    <row r="38" spans="2:3">
      <c r="B38" s="237">
        <f t="shared" si="0"/>
        <v>28</v>
      </c>
      <c r="C38" s="375" t="str">
        <f t="shared" si="1"/>
        <v>,</v>
      </c>
    </row>
    <row r="39" spans="2:3">
      <c r="B39" s="237">
        <f t="shared" si="0"/>
        <v>29</v>
      </c>
      <c r="C39" s="375" t="str">
        <f t="shared" si="1"/>
        <v>9</v>
      </c>
    </row>
    <row r="40" spans="2:3">
      <c r="B40" s="237">
        <f t="shared" si="0"/>
        <v>30</v>
      </c>
      <c r="C40" s="375" t="str">
        <f t="shared" si="1"/>
        <v>l</v>
      </c>
    </row>
    <row r="41" spans="2:3">
      <c r="B41" s="237">
        <f t="shared" si="0"/>
        <v>31</v>
      </c>
      <c r="C41" s="375" t="str">
        <f t="shared" si="1"/>
        <v>.</v>
      </c>
    </row>
    <row r="42" spans="2:3">
      <c r="B42" s="237">
        <f t="shared" si="0"/>
        <v>32</v>
      </c>
      <c r="C42" s="375" t="str">
        <f t="shared" si="1"/>
        <v>0</v>
      </c>
    </row>
    <row r="43" spans="2:3">
      <c r="B43" s="237">
        <f t="shared" si="0"/>
        <v>33</v>
      </c>
      <c r="C43" s="375" t="str">
        <f t="shared" si="1"/>
        <v>p</v>
      </c>
    </row>
    <row r="44" spans="2:3">
      <c r="B44" s="237">
        <f t="shared" si="0"/>
        <v>34</v>
      </c>
      <c r="C44" s="375" t="str">
        <f t="shared" si="1"/>
        <v>;</v>
      </c>
    </row>
    <row r="45" spans="2:3">
      <c r="B45" s="237">
        <f t="shared" si="0"/>
        <v>35</v>
      </c>
      <c r="C45" s="375" t="str">
        <f t="shared" si="1"/>
        <v>/</v>
      </c>
    </row>
    <row r="46" spans="2:3">
      <c r="B46" s="237">
        <f t="shared" si="0"/>
        <v>36</v>
      </c>
      <c r="C46" s="375" t="str">
        <f t="shared" si="1"/>
        <v>-</v>
      </c>
    </row>
    <row r="47" spans="2:3">
      <c r="B47" s="237">
        <f t="shared" si="0"/>
        <v>37</v>
      </c>
      <c r="C47" s="375" t="str">
        <f t="shared" si="1"/>
        <v>U</v>
      </c>
    </row>
    <row r="48" spans="2:3">
      <c r="B48" s="237">
        <f t="shared" si="0"/>
        <v>38</v>
      </c>
      <c r="C48" s="375" t="str">
        <f t="shared" si="1"/>
        <v>J</v>
      </c>
    </row>
    <row r="49" spans="2:6">
      <c r="B49" s="237">
        <f t="shared" si="0"/>
        <v>39</v>
      </c>
      <c r="C49" s="375" t="str">
        <f t="shared" si="1"/>
        <v>*</v>
      </c>
    </row>
    <row r="50" spans="2:6">
      <c r="B50" s="237">
        <f t="shared" si="0"/>
        <v>40</v>
      </c>
      <c r="C50" s="375" t="str">
        <f t="shared" si="1"/>
        <v>I</v>
      </c>
    </row>
    <row r="51" spans="2:6">
      <c r="B51" s="237">
        <f t="shared" si="0"/>
        <v>41</v>
      </c>
      <c r="C51" s="375" t="str">
        <f t="shared" si="1"/>
        <v>&lt;</v>
      </c>
    </row>
    <row r="52" spans="2:6">
      <c r="B52" s="237">
        <f t="shared" si="0"/>
        <v>42</v>
      </c>
      <c r="C52" s="375" t="str">
        <f t="shared" si="1"/>
        <v>(</v>
      </c>
    </row>
    <row r="53" spans="2:6">
      <c r="B53" s="237">
        <f t="shared" si="0"/>
        <v>43</v>
      </c>
      <c r="C53" s="375" t="str">
        <f t="shared" si="1"/>
        <v>L</v>
      </c>
    </row>
    <row r="54" spans="2:6">
      <c r="B54" s="237">
        <f t="shared" si="0"/>
        <v>44</v>
      </c>
      <c r="C54" s="375" t="str">
        <f t="shared" si="1"/>
        <v>O</v>
      </c>
    </row>
    <row r="55" spans="2:6">
      <c r="B55" s="237">
        <f t="shared" si="0"/>
        <v>45</v>
      </c>
      <c r="C55" s="375" t="str">
        <f t="shared" si="1"/>
        <v>A</v>
      </c>
    </row>
    <row r="56" spans="2:6">
      <c r="B56" s="237">
        <f t="shared" si="0"/>
        <v>46</v>
      </c>
      <c r="C56" s="375" t="str">
        <f t="shared" si="1"/>
        <v>:</v>
      </c>
    </row>
    <row r="57" spans="2:6">
      <c r="B57" s="237">
        <f t="shared" si="0"/>
        <v>47</v>
      </c>
      <c r="C57" s="375" t="str">
        <f t="shared" si="1"/>
        <v xml:space="preserve"> </v>
      </c>
      <c r="E57" t="s">
        <v>670</v>
      </c>
      <c r="F57">
        <f xml:space="preserve"> CODE(C57)</f>
        <v>32</v>
      </c>
    </row>
    <row r="58" spans="2:6">
      <c r="B58" s="237">
        <f t="shared" si="0"/>
        <v>48</v>
      </c>
      <c r="C58" s="375" t="str">
        <f t="shared" si="1"/>
        <v>4</v>
      </c>
    </row>
    <row r="59" spans="2:6">
      <c r="B59" s="237">
        <f t="shared" si="0"/>
        <v>49</v>
      </c>
      <c r="C59" s="375" t="str">
        <f t="shared" si="1"/>
        <v>3</v>
      </c>
    </row>
    <row r="60" spans="2:6">
      <c r="B60" s="237">
        <f t="shared" si="0"/>
        <v>50</v>
      </c>
      <c r="C60" s="375" t="str">
        <f t="shared" si="1"/>
        <v>6</v>
      </c>
    </row>
    <row r="61" spans="2:6">
      <c r="B61" s="237">
        <f t="shared" si="0"/>
        <v>51</v>
      </c>
      <c r="C61" s="375" t="str">
        <f t="shared" si="1"/>
        <v>5</v>
      </c>
    </row>
    <row r="62" spans="2:6">
      <c r="B62" s="237">
        <f t="shared" si="0"/>
        <v>52</v>
      </c>
      <c r="C62" s="375" t="str">
        <f t="shared" si="1"/>
        <v>7</v>
      </c>
    </row>
  </sheetData>
  <phoneticPr fontId="9" type="noConversion"/>
  <conditionalFormatting sqref="C11:C62">
    <cfRule type="cellIs" dxfId="4" priority="1" operator="equal">
      <formula>CHAR(32)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G60"/>
  <sheetViews>
    <sheetView workbookViewId="0">
      <pane ySplit="2" topLeftCell="A3" activePane="bottomLeft" state="frozen"/>
      <selection pane="bottomLeft" activeCell="E49" sqref="E49"/>
    </sheetView>
  </sheetViews>
  <sheetFormatPr defaultRowHeight="23.25"/>
  <cols>
    <col min="2" max="2" width="6.3984375" style="2" customWidth="1"/>
    <col min="3" max="5" width="10.59765625" style="421" customWidth="1"/>
    <col min="6" max="6" width="10.59765625" style="11" customWidth="1"/>
    <col min="7" max="7" width="10.59765625" style="407" customWidth="1"/>
  </cols>
  <sheetData>
    <row r="1" spans="2:7" ht="32.25">
      <c r="B1" s="7" t="s">
        <v>5</v>
      </c>
      <c r="C1" s="139"/>
      <c r="D1" s="139"/>
      <c r="E1" s="8"/>
      <c r="F1" s="139"/>
      <c r="G1" s="138"/>
    </row>
    <row r="2" spans="2:7" ht="21.75" thickBot="1">
      <c r="B2" s="419" t="s">
        <v>14</v>
      </c>
      <c r="C2" s="396" t="s">
        <v>19</v>
      </c>
      <c r="D2" s="398" t="s">
        <v>585</v>
      </c>
      <c r="E2" s="397" t="s">
        <v>386</v>
      </c>
      <c r="F2" s="399" t="s">
        <v>385</v>
      </c>
      <c r="G2" s="399" t="s">
        <v>16</v>
      </c>
    </row>
    <row r="3" spans="2:7" ht="33" thickTop="1">
      <c r="B3" s="413">
        <f>ROW() - 2</f>
        <v>1</v>
      </c>
      <c r="C3" s="71" t="s">
        <v>361</v>
      </c>
      <c r="D3" s="379" t="s">
        <v>217</v>
      </c>
      <c r="E3" s="32" t="s">
        <v>20</v>
      </c>
      <c r="F3" s="465" t="s">
        <v>20</v>
      </c>
      <c r="G3" s="430" t="s">
        <v>217</v>
      </c>
    </row>
    <row r="4" spans="2:7" ht="32.25">
      <c r="B4" s="413">
        <f t="shared" ref="B4:B58" si="0">ROW() - 2</f>
        <v>2</v>
      </c>
      <c r="C4" s="71" t="s">
        <v>394</v>
      </c>
      <c r="D4" s="379" t="s">
        <v>190</v>
      </c>
      <c r="E4" s="32" t="s">
        <v>27</v>
      </c>
      <c r="F4" s="465" t="s">
        <v>27</v>
      </c>
      <c r="G4" s="430" t="s">
        <v>190</v>
      </c>
    </row>
    <row r="5" spans="2:7" ht="32.25">
      <c r="B5" s="413">
        <f t="shared" si="0"/>
        <v>3</v>
      </c>
      <c r="C5" s="71" t="s">
        <v>353</v>
      </c>
      <c r="D5" s="379" t="s">
        <v>400</v>
      </c>
      <c r="E5" s="32" t="s">
        <v>23</v>
      </c>
      <c r="F5" s="465" t="s">
        <v>23</v>
      </c>
      <c r="G5" s="430" t="s">
        <v>392</v>
      </c>
    </row>
    <row r="6" spans="2:7" ht="32.25">
      <c r="B6" s="413">
        <f t="shared" si="0"/>
        <v>4</v>
      </c>
      <c r="C6" s="71" t="s">
        <v>351</v>
      </c>
      <c r="D6" s="379" t="s">
        <v>143</v>
      </c>
      <c r="E6" s="32" t="s">
        <v>83</v>
      </c>
      <c r="F6" s="465" t="s">
        <v>83</v>
      </c>
      <c r="G6" s="430" t="s">
        <v>143</v>
      </c>
    </row>
    <row r="7" spans="2:7" ht="32.25">
      <c r="B7" s="413">
        <f t="shared" si="0"/>
        <v>5</v>
      </c>
      <c r="C7" s="71" t="s">
        <v>347</v>
      </c>
      <c r="D7" s="379" t="s">
        <v>30</v>
      </c>
      <c r="E7" s="32" t="s">
        <v>29</v>
      </c>
      <c r="F7" s="465" t="s">
        <v>29</v>
      </c>
      <c r="G7" s="430" t="s">
        <v>30</v>
      </c>
    </row>
    <row r="8" spans="2:7" ht="32.25">
      <c r="B8" s="413">
        <f t="shared" si="0"/>
        <v>6</v>
      </c>
      <c r="C8" s="71" t="s">
        <v>341</v>
      </c>
      <c r="D8" s="379" t="s">
        <v>408</v>
      </c>
      <c r="E8" s="32" t="s">
        <v>31</v>
      </c>
      <c r="F8" s="465" t="s">
        <v>31</v>
      </c>
      <c r="G8" s="430" t="s">
        <v>32</v>
      </c>
    </row>
    <row r="9" spans="2:7" ht="32.25">
      <c r="B9" s="413">
        <f t="shared" si="0"/>
        <v>7</v>
      </c>
      <c r="C9" s="71" t="s">
        <v>338</v>
      </c>
      <c r="D9" s="379" t="s">
        <v>34</v>
      </c>
      <c r="E9" s="32" t="s">
        <v>33</v>
      </c>
      <c r="F9" s="465" t="s">
        <v>33</v>
      </c>
      <c r="G9" s="430" t="s">
        <v>34</v>
      </c>
    </row>
    <row r="10" spans="2:7" ht="32.25">
      <c r="B10" s="413">
        <f t="shared" si="0"/>
        <v>8</v>
      </c>
      <c r="C10" s="71" t="s">
        <v>332</v>
      </c>
      <c r="D10" s="379" t="s">
        <v>86</v>
      </c>
      <c r="E10" s="32" t="s">
        <v>85</v>
      </c>
      <c r="F10" s="465" t="s">
        <v>85</v>
      </c>
      <c r="G10" s="430" t="s">
        <v>86</v>
      </c>
    </row>
    <row r="11" spans="2:7" ht="32.25">
      <c r="B11" s="413">
        <f t="shared" si="0"/>
        <v>9</v>
      </c>
      <c r="C11" s="71" t="s">
        <v>329</v>
      </c>
      <c r="D11" s="379" t="s">
        <v>37</v>
      </c>
      <c r="E11" s="32" t="s">
        <v>36</v>
      </c>
      <c r="F11" s="465" t="s">
        <v>36</v>
      </c>
      <c r="G11" s="430" t="s">
        <v>37</v>
      </c>
    </row>
    <row r="12" spans="2:7" ht="32.25">
      <c r="B12" s="413">
        <f t="shared" si="0"/>
        <v>10</v>
      </c>
      <c r="C12" s="71" t="s">
        <v>322</v>
      </c>
      <c r="D12" s="379" t="s">
        <v>184</v>
      </c>
      <c r="E12" s="32" t="s">
        <v>41</v>
      </c>
      <c r="F12" s="465" t="s">
        <v>41</v>
      </c>
      <c r="G12" s="430" t="s">
        <v>184</v>
      </c>
    </row>
    <row r="13" spans="2:7" ht="32.25">
      <c r="B13" s="413">
        <f t="shared" si="0"/>
        <v>11</v>
      </c>
      <c r="C13" s="71" t="s">
        <v>309</v>
      </c>
      <c r="D13" s="379" t="s">
        <v>425</v>
      </c>
      <c r="E13" s="32" t="s">
        <v>38</v>
      </c>
      <c r="F13" s="465" t="s">
        <v>38</v>
      </c>
      <c r="G13" s="430" t="s">
        <v>418</v>
      </c>
    </row>
    <row r="14" spans="2:7" ht="32.25">
      <c r="B14" s="413">
        <f t="shared" si="0"/>
        <v>12</v>
      </c>
      <c r="C14" s="380" t="s">
        <v>429</v>
      </c>
      <c r="D14" s="383" t="s">
        <v>341</v>
      </c>
      <c r="E14" s="381" t="s">
        <v>671</v>
      </c>
      <c r="F14" s="465" t="s">
        <v>672</v>
      </c>
      <c r="G14" s="432" t="s">
        <v>613</v>
      </c>
    </row>
    <row r="15" spans="2:7" ht="32.25">
      <c r="B15" s="413">
        <f t="shared" si="0"/>
        <v>13</v>
      </c>
      <c r="C15" s="384" t="s">
        <v>305</v>
      </c>
      <c r="D15" s="387" t="s">
        <v>422</v>
      </c>
      <c r="E15" s="385" t="s">
        <v>52</v>
      </c>
      <c r="F15" s="465" t="s">
        <v>52</v>
      </c>
      <c r="G15" s="431" t="s">
        <v>422</v>
      </c>
    </row>
    <row r="16" spans="2:7" ht="32.25">
      <c r="B16" s="413">
        <f t="shared" si="0"/>
        <v>14</v>
      </c>
      <c r="C16" s="380" t="s">
        <v>590</v>
      </c>
      <c r="D16" s="383" t="s">
        <v>179</v>
      </c>
      <c r="E16" s="381" t="s">
        <v>43</v>
      </c>
      <c r="F16" s="465" t="s">
        <v>43</v>
      </c>
      <c r="G16" s="432" t="s">
        <v>179</v>
      </c>
    </row>
    <row r="17" spans="2:7" ht="32.25">
      <c r="B17" s="413">
        <f t="shared" si="0"/>
        <v>15</v>
      </c>
      <c r="C17" s="380" t="s">
        <v>422</v>
      </c>
      <c r="D17" s="383" t="s">
        <v>305</v>
      </c>
      <c r="E17" s="381" t="s">
        <v>46</v>
      </c>
      <c r="F17" s="465" t="s">
        <v>46</v>
      </c>
      <c r="G17" s="432" t="s">
        <v>305</v>
      </c>
    </row>
    <row r="18" spans="2:7" ht="32.25">
      <c r="B18" s="413">
        <f t="shared" si="0"/>
        <v>16</v>
      </c>
      <c r="C18" s="380" t="s">
        <v>34</v>
      </c>
      <c r="D18" s="383" t="s">
        <v>338</v>
      </c>
      <c r="E18" s="381" t="s">
        <v>50</v>
      </c>
      <c r="F18" s="465" t="s">
        <v>50</v>
      </c>
      <c r="G18" s="432" t="s">
        <v>338</v>
      </c>
    </row>
    <row r="19" spans="2:7" ht="32.25">
      <c r="B19" s="413">
        <f t="shared" si="0"/>
        <v>17</v>
      </c>
      <c r="C19" s="71" t="s">
        <v>190</v>
      </c>
      <c r="D19" s="379" t="s">
        <v>254</v>
      </c>
      <c r="E19" s="32" t="s">
        <v>442</v>
      </c>
      <c r="F19" s="465" t="s">
        <v>441</v>
      </c>
      <c r="G19" s="430" t="s">
        <v>254</v>
      </c>
    </row>
    <row r="20" spans="2:7" ht="32.25">
      <c r="B20" s="413">
        <f t="shared" si="0"/>
        <v>18</v>
      </c>
      <c r="C20" s="384" t="s">
        <v>447</v>
      </c>
      <c r="D20" s="387" t="s">
        <v>449</v>
      </c>
      <c r="E20" s="385" t="s">
        <v>89</v>
      </c>
      <c r="F20" s="465" t="s">
        <v>89</v>
      </c>
      <c r="G20" s="431" t="s">
        <v>648</v>
      </c>
    </row>
    <row r="21" spans="2:7" ht="32.25">
      <c r="B21" s="413">
        <f t="shared" si="0"/>
        <v>19</v>
      </c>
      <c r="C21" s="384" t="s">
        <v>454</v>
      </c>
      <c r="D21" s="388" t="s">
        <v>456</v>
      </c>
      <c r="E21" s="385" t="s">
        <v>91</v>
      </c>
      <c r="F21" s="465" t="s">
        <v>91</v>
      </c>
      <c r="G21" s="431" t="s">
        <v>649</v>
      </c>
    </row>
    <row r="22" spans="2:7" ht="32.25">
      <c r="B22" s="413">
        <f t="shared" si="0"/>
        <v>20</v>
      </c>
      <c r="C22" s="384" t="s">
        <v>571</v>
      </c>
      <c r="D22" s="388" t="s">
        <v>460</v>
      </c>
      <c r="E22" s="385" t="s">
        <v>284</v>
      </c>
      <c r="F22" s="465" t="s">
        <v>284</v>
      </c>
      <c r="G22" s="431" t="s">
        <v>461</v>
      </c>
    </row>
    <row r="23" spans="2:7" ht="32.25">
      <c r="B23" s="413">
        <f t="shared" si="0"/>
        <v>21</v>
      </c>
      <c r="C23" s="71" t="s">
        <v>144</v>
      </c>
      <c r="D23" s="379" t="s">
        <v>249</v>
      </c>
      <c r="E23" s="32" t="s">
        <v>109</v>
      </c>
      <c r="F23" s="465" t="s">
        <v>441</v>
      </c>
      <c r="G23" s="430" t="s">
        <v>607</v>
      </c>
    </row>
    <row r="24" spans="2:7" ht="32.25">
      <c r="B24" s="98">
        <f t="shared" si="0"/>
        <v>22</v>
      </c>
      <c r="C24" s="71" t="s">
        <v>196</v>
      </c>
      <c r="D24" s="379" t="s">
        <v>279</v>
      </c>
      <c r="E24" s="32" t="s">
        <v>54</v>
      </c>
      <c r="F24" s="465" t="s">
        <v>54</v>
      </c>
      <c r="G24" s="430" t="s">
        <v>279</v>
      </c>
    </row>
    <row r="25" spans="2:7" ht="32.25">
      <c r="B25" s="98">
        <f t="shared" si="0"/>
        <v>23</v>
      </c>
      <c r="C25" s="389" t="s">
        <v>254</v>
      </c>
      <c r="D25" s="390" t="s">
        <v>196</v>
      </c>
      <c r="E25" s="32" t="s">
        <v>56</v>
      </c>
      <c r="F25" s="465" t="s">
        <v>56</v>
      </c>
      <c r="G25" s="430" t="s">
        <v>196</v>
      </c>
    </row>
    <row r="26" spans="2:7" ht="32.25">
      <c r="B26" s="98">
        <f t="shared" si="0"/>
        <v>24</v>
      </c>
      <c r="C26" s="71" t="s">
        <v>143</v>
      </c>
      <c r="D26" s="379" t="s">
        <v>525</v>
      </c>
      <c r="E26" s="32" t="s">
        <v>145</v>
      </c>
      <c r="F26" s="465" t="s">
        <v>655</v>
      </c>
      <c r="G26" s="430" t="s">
        <v>608</v>
      </c>
    </row>
    <row r="27" spans="2:7" ht="32.25">
      <c r="B27" s="98">
        <f t="shared" si="0"/>
        <v>25</v>
      </c>
      <c r="C27" s="71" t="s">
        <v>591</v>
      </c>
      <c r="D27" s="379" t="s">
        <v>351</v>
      </c>
      <c r="E27" s="32" t="s">
        <v>58</v>
      </c>
      <c r="F27" s="465" t="s">
        <v>58</v>
      </c>
      <c r="G27" s="430" t="s">
        <v>351</v>
      </c>
    </row>
    <row r="28" spans="2:7" ht="32.25">
      <c r="B28" s="98">
        <f t="shared" si="0"/>
        <v>26</v>
      </c>
      <c r="C28" s="71" t="s">
        <v>279</v>
      </c>
      <c r="D28" s="379" t="s">
        <v>267</v>
      </c>
      <c r="E28" s="32" t="s">
        <v>67</v>
      </c>
      <c r="F28" s="465" t="s">
        <v>483</v>
      </c>
      <c r="G28" s="430" t="s">
        <v>346</v>
      </c>
    </row>
    <row r="29" spans="2:7" ht="32.25">
      <c r="B29" s="98">
        <f t="shared" si="0"/>
        <v>27</v>
      </c>
      <c r="C29" s="71" t="s">
        <v>37</v>
      </c>
      <c r="D29" s="379" t="s">
        <v>65</v>
      </c>
      <c r="E29" s="32" t="s">
        <v>473</v>
      </c>
      <c r="F29" s="465" t="s">
        <v>473</v>
      </c>
      <c r="G29" s="430" t="s">
        <v>65</v>
      </c>
    </row>
    <row r="30" spans="2:7" ht="32.25">
      <c r="B30" s="98">
        <f t="shared" si="0"/>
        <v>28</v>
      </c>
      <c r="C30" s="434" t="s">
        <v>225</v>
      </c>
      <c r="D30" s="436" t="s">
        <v>329</v>
      </c>
      <c r="E30" s="435" t="s">
        <v>61</v>
      </c>
      <c r="F30" s="465" t="s">
        <v>654</v>
      </c>
      <c r="G30" s="437" t="s">
        <v>329</v>
      </c>
    </row>
    <row r="31" spans="2:7" ht="32.25">
      <c r="B31" s="98">
        <f t="shared" si="0"/>
        <v>29</v>
      </c>
      <c r="C31" s="434" t="s">
        <v>264</v>
      </c>
      <c r="D31" s="436" t="s">
        <v>590</v>
      </c>
      <c r="E31" s="435" t="s">
        <v>241</v>
      </c>
      <c r="F31" s="465" t="s">
        <v>241</v>
      </c>
      <c r="G31" s="437" t="s">
        <v>330</v>
      </c>
    </row>
    <row r="32" spans="2:7" ht="32.25">
      <c r="B32" s="98">
        <f t="shared" si="0"/>
        <v>30</v>
      </c>
      <c r="C32" s="71" t="s">
        <v>86</v>
      </c>
      <c r="D32" s="379" t="s">
        <v>332</v>
      </c>
      <c r="E32" s="32" t="s">
        <v>72</v>
      </c>
      <c r="F32" s="465" t="s">
        <v>72</v>
      </c>
      <c r="G32" s="430" t="s">
        <v>326</v>
      </c>
    </row>
    <row r="33" spans="2:7" ht="32.25">
      <c r="B33" s="98">
        <f t="shared" si="0"/>
        <v>31</v>
      </c>
      <c r="C33" s="71" t="s">
        <v>596</v>
      </c>
      <c r="D33" s="379" t="s">
        <v>144</v>
      </c>
      <c r="E33" s="32" t="s">
        <v>594</v>
      </c>
      <c r="F33" s="465" t="s">
        <v>594</v>
      </c>
      <c r="G33" s="430" t="s">
        <v>623</v>
      </c>
    </row>
    <row r="34" spans="2:7" ht="32.25">
      <c r="B34" s="98">
        <f t="shared" si="0"/>
        <v>32</v>
      </c>
      <c r="C34" s="71" t="s">
        <v>219</v>
      </c>
      <c r="D34" s="379" t="s">
        <v>617</v>
      </c>
      <c r="E34" s="32" t="s">
        <v>97</v>
      </c>
      <c r="F34" s="465" t="s">
        <v>97</v>
      </c>
      <c r="G34" s="430" t="s">
        <v>177</v>
      </c>
    </row>
    <row r="35" spans="2:7" ht="32.25">
      <c r="B35" s="98">
        <f t="shared" si="0"/>
        <v>33</v>
      </c>
      <c r="C35" s="71" t="s">
        <v>217</v>
      </c>
      <c r="D35" s="379" t="s">
        <v>571</v>
      </c>
      <c r="E35" s="32" t="s">
        <v>76</v>
      </c>
      <c r="F35" s="465" t="s">
        <v>76</v>
      </c>
      <c r="G35" s="430" t="s">
        <v>489</v>
      </c>
    </row>
    <row r="36" spans="2:7" ht="32.25">
      <c r="B36" s="98">
        <f t="shared" si="0"/>
        <v>34</v>
      </c>
      <c r="C36" s="71" t="s">
        <v>212</v>
      </c>
      <c r="D36" s="379" t="s">
        <v>195</v>
      </c>
      <c r="E36" s="32" t="s">
        <v>95</v>
      </c>
      <c r="F36" s="465" t="s">
        <v>95</v>
      </c>
      <c r="G36" s="430" t="s">
        <v>163</v>
      </c>
    </row>
    <row r="37" spans="2:7" ht="32.25">
      <c r="B37" s="98">
        <f t="shared" si="0"/>
        <v>35</v>
      </c>
      <c r="C37" s="71" t="s">
        <v>202</v>
      </c>
      <c r="D37" s="379" t="s">
        <v>559</v>
      </c>
      <c r="E37" s="32" t="s">
        <v>74</v>
      </c>
      <c r="F37" s="465" t="s">
        <v>127</v>
      </c>
      <c r="G37" s="430" t="s">
        <v>494</v>
      </c>
    </row>
    <row r="38" spans="2:7" ht="32.25">
      <c r="B38" s="98">
        <f t="shared" si="0"/>
        <v>36</v>
      </c>
      <c r="C38" s="71" t="s">
        <v>198</v>
      </c>
      <c r="D38" s="379" t="s">
        <v>560</v>
      </c>
      <c r="E38" s="32" t="s">
        <v>593</v>
      </c>
      <c r="F38" s="465" t="s">
        <v>620</v>
      </c>
      <c r="G38" s="430" t="s">
        <v>522</v>
      </c>
    </row>
    <row r="39" spans="2:7" ht="32.25">
      <c r="B39" s="98">
        <f t="shared" si="0"/>
        <v>37</v>
      </c>
      <c r="C39" s="71" t="s">
        <v>259</v>
      </c>
      <c r="D39" s="379" t="s">
        <v>275</v>
      </c>
      <c r="E39" s="32" t="s">
        <v>111</v>
      </c>
      <c r="F39" s="465" t="s">
        <v>658</v>
      </c>
      <c r="G39" s="430" t="s">
        <v>513</v>
      </c>
    </row>
    <row r="40" spans="2:7" ht="32.25">
      <c r="B40" s="98">
        <f t="shared" si="0"/>
        <v>38</v>
      </c>
      <c r="C40" s="71" t="s">
        <v>249</v>
      </c>
      <c r="D40" s="379" t="s">
        <v>259</v>
      </c>
      <c r="E40" s="32" t="s">
        <v>113</v>
      </c>
      <c r="F40" s="465" t="s">
        <v>659</v>
      </c>
      <c r="G40" s="430" t="s">
        <v>518</v>
      </c>
    </row>
    <row r="41" spans="2:7" ht="32.25">
      <c r="B41" s="98">
        <f t="shared" si="0"/>
        <v>39</v>
      </c>
      <c r="C41" s="71" t="s">
        <v>281</v>
      </c>
      <c r="D41" s="379" t="s">
        <v>612</v>
      </c>
      <c r="E41" s="32" t="s">
        <v>115</v>
      </c>
      <c r="F41" s="465" t="s">
        <v>660</v>
      </c>
      <c r="G41" s="430" t="s">
        <v>276</v>
      </c>
    </row>
    <row r="42" spans="2:7" ht="32.25">
      <c r="B42" s="98">
        <f t="shared" si="0"/>
        <v>40</v>
      </c>
      <c r="C42" s="71" t="s">
        <v>275</v>
      </c>
      <c r="D42" s="379" t="s">
        <v>558</v>
      </c>
      <c r="E42" s="32" t="s">
        <v>121</v>
      </c>
      <c r="F42" s="465" t="s">
        <v>661</v>
      </c>
      <c r="G42" s="430" t="s">
        <v>273</v>
      </c>
    </row>
    <row r="43" spans="2:7" ht="32.25">
      <c r="B43" s="98">
        <f t="shared" si="0"/>
        <v>41</v>
      </c>
      <c r="C43" s="71" t="s">
        <v>223</v>
      </c>
      <c r="D43" s="379" t="s">
        <v>322</v>
      </c>
      <c r="E43" s="32" t="s">
        <v>119</v>
      </c>
      <c r="F43" s="465" t="s">
        <v>662</v>
      </c>
      <c r="G43" s="430" t="s">
        <v>270</v>
      </c>
    </row>
    <row r="44" spans="2:7" ht="32.25">
      <c r="B44" s="98">
        <f t="shared" si="0"/>
        <v>42</v>
      </c>
      <c r="C44" s="71" t="s">
        <v>240</v>
      </c>
      <c r="D44" s="379" t="s">
        <v>447</v>
      </c>
      <c r="E44" s="32" t="s">
        <v>117</v>
      </c>
      <c r="F44" s="465" t="s">
        <v>663</v>
      </c>
      <c r="G44" s="430" t="s">
        <v>268</v>
      </c>
    </row>
    <row r="45" spans="2:7" ht="32.25">
      <c r="B45" s="98">
        <f t="shared" si="0"/>
        <v>43</v>
      </c>
      <c r="C45" s="71" t="s">
        <v>497</v>
      </c>
      <c r="D45" s="379" t="s">
        <v>569</v>
      </c>
      <c r="E45" s="32" t="s">
        <v>123</v>
      </c>
      <c r="F45" s="465" t="s">
        <v>664</v>
      </c>
      <c r="G45" s="430" t="s">
        <v>265</v>
      </c>
    </row>
    <row r="46" spans="2:7" ht="32.25">
      <c r="B46" s="98">
        <f t="shared" si="0"/>
        <v>44</v>
      </c>
      <c r="C46" s="71" t="s">
        <v>69</v>
      </c>
      <c r="D46" s="379" t="s">
        <v>426</v>
      </c>
      <c r="E46" s="32" t="s">
        <v>125</v>
      </c>
      <c r="F46" s="465" t="s">
        <v>656</v>
      </c>
      <c r="G46" s="430" t="s">
        <v>203</v>
      </c>
    </row>
    <row r="47" spans="2:7" ht="32.25">
      <c r="B47" s="98">
        <f t="shared" si="0"/>
        <v>45</v>
      </c>
      <c r="C47" s="71" t="s">
        <v>401</v>
      </c>
      <c r="D47" s="379" t="s">
        <v>444</v>
      </c>
      <c r="E47" s="32" t="s">
        <v>99</v>
      </c>
      <c r="F47" s="465" t="s">
        <v>665</v>
      </c>
      <c r="G47" s="430" t="s">
        <v>207</v>
      </c>
    </row>
    <row r="48" spans="2:7" ht="32.25">
      <c r="B48" s="98">
        <f t="shared" si="0"/>
        <v>46</v>
      </c>
      <c r="C48" s="71" t="s">
        <v>509</v>
      </c>
      <c r="D48" s="379" t="s">
        <v>375</v>
      </c>
      <c r="E48" s="32" t="s">
        <v>101</v>
      </c>
      <c r="F48" s="465" t="s">
        <v>657</v>
      </c>
      <c r="G48" s="430" t="s">
        <v>160</v>
      </c>
    </row>
    <row r="49" spans="2:7" ht="32.25">
      <c r="B49" s="98">
        <f t="shared" si="0"/>
        <v>47</v>
      </c>
      <c r="C49" s="71" t="str">
        <f xml:space="preserve"> CHAR(32)</f>
        <v xml:space="preserve"> </v>
      </c>
      <c r="D49" s="379" t="s">
        <v>361</v>
      </c>
      <c r="E49" s="32" t="s">
        <v>532</v>
      </c>
      <c r="F49" s="465" t="s">
        <v>532</v>
      </c>
      <c r="G49" s="430">
        <v>1</v>
      </c>
    </row>
    <row r="50" spans="2:7" ht="32.25">
      <c r="B50" s="98">
        <f t="shared" si="0"/>
        <v>48</v>
      </c>
      <c r="C50" s="71" t="s">
        <v>193</v>
      </c>
      <c r="D50" s="379" t="s">
        <v>347</v>
      </c>
      <c r="E50" s="32" t="s">
        <v>104</v>
      </c>
      <c r="F50" s="465" t="s">
        <v>104</v>
      </c>
      <c r="G50" s="430">
        <v>2</v>
      </c>
    </row>
    <row r="51" spans="2:7" ht="32.25">
      <c r="B51" s="98">
        <f t="shared" si="0"/>
        <v>49</v>
      </c>
      <c r="C51" s="71" t="s">
        <v>191</v>
      </c>
      <c r="D51" s="379" t="s">
        <v>191</v>
      </c>
      <c r="E51" s="32" t="s">
        <v>105</v>
      </c>
      <c r="F51" s="465" t="s">
        <v>105</v>
      </c>
      <c r="G51" s="430">
        <v>3</v>
      </c>
    </row>
    <row r="52" spans="2:7" ht="32.25">
      <c r="B52" s="98">
        <f t="shared" si="0"/>
        <v>50</v>
      </c>
      <c r="C52" s="71" t="s">
        <v>175</v>
      </c>
      <c r="D52" s="379" t="s">
        <v>170</v>
      </c>
      <c r="E52" s="32" t="s">
        <v>106</v>
      </c>
      <c r="F52" s="465" t="s">
        <v>106</v>
      </c>
      <c r="G52" s="430">
        <v>5</v>
      </c>
    </row>
    <row r="53" spans="2:7" ht="32.25">
      <c r="B53" s="98">
        <f t="shared" si="0"/>
        <v>51</v>
      </c>
      <c r="C53" s="71" t="s">
        <v>170</v>
      </c>
      <c r="D53" s="379" t="s">
        <v>166</v>
      </c>
      <c r="E53" s="32" t="s">
        <v>107</v>
      </c>
      <c r="F53" s="465" t="s">
        <v>107</v>
      </c>
      <c r="G53" s="430">
        <v>7</v>
      </c>
    </row>
    <row r="54" spans="2:7" ht="32.25">
      <c r="B54" s="98">
        <f t="shared" si="0"/>
        <v>52</v>
      </c>
      <c r="C54" s="71" t="s">
        <v>166</v>
      </c>
      <c r="D54" s="379" t="s">
        <v>219</v>
      </c>
      <c r="E54" s="32" t="s">
        <v>108</v>
      </c>
      <c r="F54" s="465" t="s">
        <v>108</v>
      </c>
      <c r="G54" s="430" t="s">
        <v>609</v>
      </c>
    </row>
    <row r="55" spans="2:7" ht="32.25">
      <c r="B55" s="98">
        <f t="shared" si="0"/>
        <v>53</v>
      </c>
      <c r="C55" s="71" t="str">
        <f xml:space="preserve"> IFERROR( INDEX(表格1_334115[鍵盤按鍵], MATCH($AB55, 表格1_334115[注音符號], 0)), "")</f>
        <v/>
      </c>
      <c r="D55" s="379" t="str">
        <f xml:space="preserve"> IFERROR( INDEX(表格1_334115[注音編碼], MATCH($AB55, 表格1_334115[注音符號], 0)), "")</f>
        <v/>
      </c>
      <c r="E55" s="32" t="s">
        <v>128</v>
      </c>
      <c r="F55" s="466" t="s">
        <v>128</v>
      </c>
      <c r="G55" s="433" t="s">
        <v>643</v>
      </c>
    </row>
    <row r="56" spans="2:7" ht="32.25">
      <c r="B56" s="98">
        <f t="shared" si="0"/>
        <v>54</v>
      </c>
      <c r="C56" s="71" t="str">
        <f xml:space="preserve"> IFERROR( INDEX(表格1_334115[鍵盤按鍵], MATCH($AB56, 表格1_334115[注音符號], 0)), "")</f>
        <v/>
      </c>
      <c r="D56" s="379" t="str">
        <f xml:space="preserve"> IFERROR( INDEX(表格1_334115[注音編碼], MATCH($AB56, 表格1_334115[注音符號], 0)), "")</f>
        <v/>
      </c>
      <c r="E56" s="32" t="s">
        <v>130</v>
      </c>
      <c r="F56" s="466" t="s">
        <v>130</v>
      </c>
      <c r="G56" s="433" t="s">
        <v>644</v>
      </c>
    </row>
    <row r="57" spans="2:7" ht="32.25">
      <c r="B57" s="98">
        <f t="shared" si="0"/>
        <v>55</v>
      </c>
      <c r="C57" s="71" t="str">
        <f xml:space="preserve"> IFERROR( INDEX(表格1_334115[鍵盤按鍵], MATCH($AB57, 表格1_334115[注音符號], 0)), "")</f>
        <v/>
      </c>
      <c r="D57" s="379" t="str">
        <f xml:space="preserve"> IFERROR( INDEX(表格1_334115[注音編碼], MATCH($AB57, 表格1_334115[注音符號], 0)), "")</f>
        <v/>
      </c>
      <c r="E57" s="32" t="s">
        <v>132</v>
      </c>
      <c r="F57" s="466" t="s">
        <v>132</v>
      </c>
      <c r="G57" s="433" t="s">
        <v>645</v>
      </c>
    </row>
    <row r="58" spans="2:7" ht="32.25">
      <c r="B58" s="98">
        <f t="shared" si="0"/>
        <v>56</v>
      </c>
      <c r="C58" s="71" t="str">
        <f xml:space="preserve"> IFERROR( INDEX(表格1_334115[鍵盤按鍵], MATCH($AB58, 表格1_334115[注音符號], 0)), "")</f>
        <v/>
      </c>
      <c r="D58" s="379" t="str">
        <f xml:space="preserve"> IFERROR( INDEX(表格1_334115[注音編碼], MATCH($AB58, 表格1_334115[注音符號], 0)), "")</f>
        <v/>
      </c>
      <c r="E58" s="32" t="s">
        <v>134</v>
      </c>
      <c r="F58" s="466" t="s">
        <v>134</v>
      </c>
      <c r="G58" s="433" t="s">
        <v>646</v>
      </c>
    </row>
    <row r="60" spans="2:7" ht="25.5">
      <c r="D60" s="428"/>
      <c r="E60" s="428"/>
      <c r="F60" s="464"/>
      <c r="G60" s="429" t="s">
        <v>364</v>
      </c>
    </row>
  </sheetData>
  <phoneticPr fontId="9" type="noConversion"/>
  <conditionalFormatting sqref="C3:D58">
    <cfRule type="cellIs" dxfId="3" priority="1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rgb="FFFF0000"/>
  </sheetPr>
  <dimension ref="B1:CX99"/>
  <sheetViews>
    <sheetView tabSelected="1" topLeftCell="H1" zoomScaleNormal="100" workbookViewId="0">
      <pane ySplit="2" topLeftCell="A39" activePane="bottomLeft" state="frozen"/>
      <selection activeCell="W1" sqref="W1"/>
      <selection pane="bottomLeft" activeCell="S41" sqref="S41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3" width="9.796875" style="2" customWidth="1"/>
    <col min="25" max="25" width="9.796875" style="407" customWidth="1"/>
    <col min="26" max="26" width="5.59765625" customWidth="1"/>
    <col min="27" max="27" width="10.296875" style="2" customWidth="1"/>
    <col min="28" max="30" width="10.296875" style="421" customWidth="1"/>
    <col min="31" max="31" width="10.59765625" style="407" customWidth="1"/>
    <col min="32" max="32" width="11.69921875" style="2" customWidth="1"/>
    <col min="33" max="33" width="13.5" style="421" customWidth="1"/>
    <col min="34" max="34" width="4.296875" style="2" customWidth="1"/>
    <col min="35" max="35" width="5.5" style="2" customWidth="1"/>
    <col min="36" max="49" width="8.796875" style="2"/>
    <col min="50" max="50" width="8.796875" style="11"/>
    <col min="51" max="51" width="12.8984375" style="2" customWidth="1"/>
    <col min="52" max="54" width="3.69921875" style="443" customWidth="1"/>
    <col min="55" max="103" width="3.69921875" style="2" customWidth="1"/>
    <col min="104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407"/>
      <c r="Y1" s="2"/>
      <c r="Z1" s="7" t="s">
        <v>5</v>
      </c>
      <c r="AA1" s="139"/>
      <c r="AB1" s="139"/>
      <c r="AC1" s="8"/>
      <c r="AD1" s="138"/>
      <c r="AE1" s="2"/>
      <c r="AF1" s="421"/>
      <c r="AG1" s="2"/>
      <c r="AV1" s="11"/>
      <c r="AX1" s="2"/>
      <c r="AY1" s="443"/>
      <c r="BB1" s="2"/>
    </row>
    <row r="2" spans="2:102" ht="26.25" thickBot="1">
      <c r="B2" s="491" t="s">
        <v>667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640</v>
      </c>
      <c r="U2" s="420" t="s">
        <v>11</v>
      </c>
      <c r="V2" s="420" t="s">
        <v>642</v>
      </c>
      <c r="W2" s="420" t="s">
        <v>641</v>
      </c>
      <c r="X2" s="420" t="s">
        <v>383</v>
      </c>
      <c r="Y2" s="420"/>
      <c r="Z2" s="419" t="s">
        <v>14</v>
      </c>
      <c r="AA2" s="396" t="s">
        <v>19</v>
      </c>
      <c r="AB2" s="398" t="s">
        <v>585</v>
      </c>
      <c r="AC2" s="397" t="s">
        <v>15</v>
      </c>
      <c r="AD2" s="399" t="s">
        <v>16</v>
      </c>
      <c r="AE2" s="2"/>
      <c r="AF2" s="421"/>
      <c r="AG2" s="2"/>
      <c r="AV2" s="11"/>
      <c r="AX2" s="2"/>
      <c r="AY2" s="443"/>
      <c r="BB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INDEX(注音編碼對照表!$E$3:$E$58, MATCH(TRUE, EXACT(表格1_33411[[#This Row],[注音編碼]], 注音編碼對照表!$D$3:$D$54),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 t="shared" ref="AA3:AA34" si="2">U3</f>
        <v>1</v>
      </c>
      <c r="AB3" s="379" t="str">
        <f t="shared" ref="AB3:AB34" si="3">V3</f>
        <v>p</v>
      </c>
      <c r="AC3" s="32" t="str">
        <f t="shared" ref="AC3:AC34" si="4">W3</f>
        <v>ㄅ</v>
      </c>
      <c r="AD3" s="430" t="str">
        <f t="shared" ref="AD3:AD34" si="5">X3</f>
        <v>p</v>
      </c>
      <c r="AE3" s="2"/>
      <c r="AF3" s="361" t="str">
        <f xml:space="preserve"> "  alphabet: '" &amp; _xlfn.CONCAT(AA$3:AA$54) &amp; "'"</f>
        <v xml:space="preserve">  alphabet: '1!qa2wsxeEdcbyhnBYHN?ujm8ik,9l.0p;:/-OAUJ*I&lt;(L 43657'</v>
      </c>
      <c r="AG3" s="438"/>
      <c r="AH3" s="438"/>
      <c r="AI3" s="438"/>
      <c r="AJ3" s="438"/>
      <c r="AK3" s="438"/>
      <c r="AL3" s="438"/>
      <c r="AM3" s="438"/>
      <c r="AN3" s="438"/>
      <c r="AV3" s="11"/>
      <c r="AX3" s="2"/>
      <c r="AY3" s="443"/>
      <c r="BB3" s="2"/>
    </row>
    <row r="4" spans="2:102" ht="32.25">
      <c r="B4" s="2">
        <f xml:space="preserve"> SEARCH("|",$B$2,B3+1)</f>
        <v>58</v>
      </c>
      <c r="H4" s="2">
        <f t="shared" ref="H4:H54" si="6" xml:space="preserve"> ROW() - 2</f>
        <v>2</v>
      </c>
      <c r="I4" s="136" t="str">
        <f t="shared" ref="I4:I54" si="7" xml:space="preserve"> IFERROR( MID($B$6, $H4, 1), "")</f>
        <v>b</v>
      </c>
      <c r="J4" s="136" t="str">
        <f t="shared" ref="J4:J54" si="8" xml:space="preserve"> IFERROR( MID($B$7, $H4, 1), "")</f>
        <v>!</v>
      </c>
      <c r="L4" s="2">
        <v>2</v>
      </c>
      <c r="M4" s="21" t="str">
        <f t="shared" ref="M4:M19" si="9" xml:space="preserve"> IFERROR( MID($B$15, $H4, 1), "")</f>
        <v>!</v>
      </c>
      <c r="N4" s="21" t="str">
        <f t="shared" ref="N4:N54" si="10" xml:space="preserve"> IFERROR( MID($B$16, $H4, 1), "")</f>
        <v>ㆠ</v>
      </c>
      <c r="P4" s="2">
        <v>2</v>
      </c>
      <c r="Q4" s="22" t="str">
        <f t="shared" ref="Q4:Q44" si="11" xml:space="preserve"> IFERROR( MID($B$25, $P4, 1), "")</f>
        <v>P</v>
      </c>
      <c r="R4" s="22" t="str">
        <f t="shared" ref="R4:R44" si="12" xml:space="preserve"> IFERROR( MID($B$26, $P4, 1), "")</f>
        <v>ㄆ</v>
      </c>
      <c r="T4" s="2">
        <v>2</v>
      </c>
      <c r="U4" s="409" t="str">
        <f t="shared" si="0"/>
        <v>!</v>
      </c>
      <c r="V4" s="411" t="str">
        <f t="shared" si="1"/>
        <v>b</v>
      </c>
      <c r="W4" s="410" t="str" cm="1">
        <f t="array" ref="W4" xml:space="preserve"> INDEX(注音編碼對照表!$E$3:$E$58, MATCH(TRUE, EXACT(表格1_33411[[#This Row],[注音編碼]], 注音編碼對照表!$D$3:$D$54), 0))</f>
        <v>ㆠ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Z58" si="13">ROW() - 2</f>
        <v>2</v>
      </c>
      <c r="AA4" s="71" t="str">
        <f t="shared" si="2"/>
        <v>!</v>
      </c>
      <c r="AB4" s="379" t="str">
        <f t="shared" si="3"/>
        <v>b</v>
      </c>
      <c r="AC4" s="32" t="str">
        <f t="shared" si="4"/>
        <v>ㆠ</v>
      </c>
      <c r="AD4" s="430" t="str">
        <f t="shared" si="5"/>
        <v>b</v>
      </c>
      <c r="AE4" s="2"/>
      <c r="AF4" s="361" t="str">
        <f xml:space="preserve"> "  initials: '" &amp; _xlfn.CONCAT(AA$3:AA$48) &amp; "'"</f>
        <v xml:space="preserve">  initials: '1!qa2wsxeEdcbyhnBYHN?ujm8ik,9l.0p;:/-OAUJ*I&lt;(L'</v>
      </c>
      <c r="AG4" s="438"/>
      <c r="AH4" s="438"/>
      <c r="AI4" s="438"/>
      <c r="AJ4" s="438"/>
      <c r="AK4" s="438"/>
      <c r="AL4" s="438"/>
      <c r="AM4" s="438"/>
      <c r="AN4" s="438"/>
      <c r="AV4" s="11"/>
      <c r="AX4" s="2"/>
      <c r="AY4" s="443"/>
      <c r="BB4" s="2"/>
    </row>
    <row r="5" spans="2:102" ht="32.25">
      <c r="B5" s="2">
        <f xml:space="preserve"> SEARCH("|",$B$2,B4+1)</f>
        <v>111</v>
      </c>
      <c r="H5" s="2">
        <f t="shared" si="6"/>
        <v>3</v>
      </c>
      <c r="I5" s="136" t="str">
        <f t="shared" si="7"/>
        <v>P</v>
      </c>
      <c r="J5" s="136" t="str">
        <f t="shared" si="8"/>
        <v>q</v>
      </c>
      <c r="L5" s="2">
        <v>3</v>
      </c>
      <c r="M5" s="21" t="str">
        <f t="shared" si="9"/>
        <v>q</v>
      </c>
      <c r="N5" s="21" t="str">
        <f t="shared" si="10"/>
        <v>ㄆ</v>
      </c>
      <c r="P5" s="2">
        <v>3</v>
      </c>
      <c r="Q5" s="22" t="str">
        <f t="shared" si="11"/>
        <v>b</v>
      </c>
      <c r="R5" s="22" t="str">
        <f t="shared" si="12"/>
        <v>ㆠ</v>
      </c>
      <c r="T5" s="2">
        <v>3</v>
      </c>
      <c r="U5" s="409" t="str">
        <f t="shared" si="0"/>
        <v>q</v>
      </c>
      <c r="V5" s="411" t="str">
        <f t="shared" si="1"/>
        <v>P</v>
      </c>
      <c r="W5" s="410" t="str" cm="1">
        <f t="array" ref="W5" xml:space="preserve"> INDEX(注音編碼對照表!$E$3:$E$58, MATCH(TRUE, EXACT(表格1_33411[[#This Row],[注音編碼]], 注音編碼對照表!$D$3:$D$54),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13"/>
        <v>3</v>
      </c>
      <c r="AA5" s="71" t="str">
        <f t="shared" si="2"/>
        <v>q</v>
      </c>
      <c r="AB5" s="379" t="str">
        <f t="shared" si="3"/>
        <v>P</v>
      </c>
      <c r="AC5" s="32" t="str">
        <f t="shared" si="4"/>
        <v>ㄆ</v>
      </c>
      <c r="AD5" s="430" t="str">
        <f t="shared" si="5"/>
        <v>ph</v>
      </c>
      <c r="AE5" s="2"/>
      <c r="AF5" s="361" t="str">
        <f xml:space="preserve"> "  finals:   '" &amp; _xlfn.CONCAT(AA$49:AA$54) &amp; "'"</f>
        <v xml:space="preserve">  finals:   ' 43657'</v>
      </c>
      <c r="AG5" s="438"/>
      <c r="AH5" s="438"/>
      <c r="AI5" s="438"/>
      <c r="AJ5" s="438"/>
      <c r="AK5" s="438"/>
      <c r="AL5" s="438"/>
      <c r="AM5" s="438"/>
      <c r="AN5" s="438"/>
      <c r="AV5" s="11"/>
      <c r="AX5" s="2"/>
      <c r="AY5" s="443"/>
      <c r="BB5" s="2"/>
    </row>
    <row r="6" spans="2:102" ht="32.25">
      <c r="B6" s="50" t="str">
        <f xml:space="preserve"> MID($B$2,B3+1, B4-B3-1)</f>
        <v>pbPmtTnlkgKhjzcsJZCSwiuMaOoeyxB@NGHWRDVIUAQEYX123570</v>
      </c>
      <c r="C6" s="51">
        <f xml:space="preserve"> LEN(B6)</f>
        <v>52</v>
      </c>
      <c r="H6" s="2">
        <f t="shared" si="6"/>
        <v>4</v>
      </c>
      <c r="I6" s="136" t="str">
        <f t="shared" si="7"/>
        <v>m</v>
      </c>
      <c r="J6" s="136" t="str">
        <f t="shared" si="8"/>
        <v>a</v>
      </c>
      <c r="L6" s="2">
        <v>4</v>
      </c>
      <c r="M6" s="21" t="str">
        <f t="shared" si="9"/>
        <v>a</v>
      </c>
      <c r="N6" s="21" t="str">
        <f t="shared" si="10"/>
        <v>ㄇ</v>
      </c>
      <c r="P6" s="2">
        <v>4</v>
      </c>
      <c r="Q6" s="22" t="str">
        <f t="shared" si="11"/>
        <v>t</v>
      </c>
      <c r="R6" s="22" t="str">
        <f t="shared" si="12"/>
        <v>ㄉ</v>
      </c>
      <c r="T6" s="2">
        <v>4</v>
      </c>
      <c r="U6" s="409" t="str">
        <f t="shared" si="0"/>
        <v>a</v>
      </c>
      <c r="V6" s="411" t="str">
        <f t="shared" si="1"/>
        <v>m</v>
      </c>
      <c r="W6" s="410" t="str" cm="1">
        <f t="array" ref="W6" xml:space="preserve"> INDEX(注音編碼對照表!$E$3:$E$58, MATCH(TRUE, EXACT(表格1_33411[[#This Row],[注音編碼]], 注音編碼對照表!$D$3:$D$54),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13"/>
        <v>4</v>
      </c>
      <c r="AA6" s="71" t="str">
        <f t="shared" si="2"/>
        <v>a</v>
      </c>
      <c r="AB6" s="379" t="str">
        <f t="shared" si="3"/>
        <v>m</v>
      </c>
      <c r="AC6" s="32" t="str">
        <f t="shared" si="4"/>
        <v>ㄇ</v>
      </c>
      <c r="AD6" s="430" t="str">
        <f t="shared" si="5"/>
        <v>m</v>
      </c>
      <c r="AE6" s="2"/>
      <c r="AF6" s="421"/>
      <c r="AG6" s="2"/>
      <c r="AV6" s="11"/>
      <c r="AX6" s="2"/>
      <c r="AY6" s="443"/>
      <c r="BB6" s="2"/>
    </row>
    <row r="7" spans="2:102" ht="32.25">
      <c r="B7" s="50" t="str">
        <f xml:space="preserve"> MID($B$2,B4+1, B5-B4-1)</f>
        <v>1!qa2wsxeEdcbyhnBYHN?ujm8ik,9l.0p;:/-OAUJ*I&lt;(L 43657</v>
      </c>
      <c r="C7" s="51">
        <f xml:space="preserve"> LEN(B7)</f>
        <v>52</v>
      </c>
      <c r="H7" s="2">
        <f t="shared" si="6"/>
        <v>5</v>
      </c>
      <c r="I7" s="136" t="str">
        <f t="shared" si="7"/>
        <v>t</v>
      </c>
      <c r="J7" s="136" t="str">
        <f t="shared" si="8"/>
        <v>2</v>
      </c>
      <c r="L7" s="2">
        <v>5</v>
      </c>
      <c r="M7" s="21" t="str">
        <f t="shared" si="9"/>
        <v>2</v>
      </c>
      <c r="N7" s="21" t="str">
        <f t="shared" si="10"/>
        <v>ㄉ</v>
      </c>
      <c r="P7" s="2">
        <v>5</v>
      </c>
      <c r="Q7" s="22" t="str">
        <f t="shared" si="11"/>
        <v>T</v>
      </c>
      <c r="R7" s="22" t="str">
        <f t="shared" si="12"/>
        <v>ㄊ</v>
      </c>
      <c r="T7" s="2">
        <v>5</v>
      </c>
      <c r="U7" s="409" t="str">
        <f t="shared" si="0"/>
        <v>2</v>
      </c>
      <c r="V7" s="411" t="str">
        <f t="shared" si="1"/>
        <v>t</v>
      </c>
      <c r="W7" s="410" t="str" cm="1">
        <f t="array" ref="W7" xml:space="preserve"> INDEX(注音編碼對照表!$E$3:$E$58, MATCH(TRUE, EXACT(表格1_33411[[#This Row],[注音編碼]], 注音編碼對照表!$D$3:$D$54),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13"/>
        <v>5</v>
      </c>
      <c r="AA7" s="71" t="str">
        <f t="shared" si="2"/>
        <v>2</v>
      </c>
      <c r="AB7" s="379" t="str">
        <f t="shared" si="3"/>
        <v>t</v>
      </c>
      <c r="AC7" s="32" t="str">
        <f t="shared" si="4"/>
        <v>ㄉ</v>
      </c>
      <c r="AD7" s="430" t="str">
        <f t="shared" si="5"/>
        <v>t</v>
      </c>
      <c r="AE7" s="2"/>
      <c r="AF7" s="421"/>
      <c r="AG7" s="2"/>
      <c r="AV7" s="11"/>
      <c r="AX7" s="2"/>
      <c r="AY7" s="443"/>
      <c r="BB7" s="2"/>
    </row>
    <row r="8" spans="2:102" ht="32.25">
      <c r="H8" s="2">
        <f t="shared" si="6"/>
        <v>6</v>
      </c>
      <c r="I8" s="136" t="str">
        <f t="shared" si="7"/>
        <v>T</v>
      </c>
      <c r="J8" s="136" t="str">
        <f t="shared" si="8"/>
        <v>w</v>
      </c>
      <c r="L8" s="2">
        <v>6</v>
      </c>
      <c r="M8" s="21" t="str">
        <f t="shared" si="9"/>
        <v>w</v>
      </c>
      <c r="N8" s="21" t="str">
        <f t="shared" si="10"/>
        <v>ㄊ</v>
      </c>
      <c r="P8" s="2">
        <v>6</v>
      </c>
      <c r="Q8" s="22" t="str">
        <f t="shared" si="11"/>
        <v>d</v>
      </c>
      <c r="R8" s="22" t="str">
        <f t="shared" si="12"/>
        <v>ㄌ</v>
      </c>
      <c r="T8" s="2">
        <v>6</v>
      </c>
      <c r="U8" s="409" t="str">
        <f t="shared" si="0"/>
        <v>w</v>
      </c>
      <c r="V8" s="411" t="str">
        <f t="shared" si="1"/>
        <v>T</v>
      </c>
      <c r="W8" s="410" t="str" cm="1">
        <f t="array" ref="W8" xml:space="preserve"> INDEX(注音編碼對照表!$E$3:$E$58, MATCH(TRUE, EXACT(表格1_33411[[#This Row],[注音編碼]], 注音編碼對照表!$D$3:$D$54),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13"/>
        <v>6</v>
      </c>
      <c r="AA8" s="71" t="str">
        <f t="shared" si="2"/>
        <v>w</v>
      </c>
      <c r="AB8" s="379" t="str">
        <f t="shared" si="3"/>
        <v>T</v>
      </c>
      <c r="AC8" s="32" t="str">
        <f t="shared" si="4"/>
        <v>ㄊ</v>
      </c>
      <c r="AD8" s="430" t="str">
        <f t="shared" si="5"/>
        <v>th</v>
      </c>
      <c r="AE8" s="2"/>
      <c r="AF8" s="422" t="s">
        <v>653</v>
      </c>
      <c r="AG8" s="2"/>
      <c r="AH8" s="457" t="str">
        <f xml:space="preserve"> """xlit|" &amp; AH9 &amp; "|" &amp; AH10 &amp; "|"""</f>
        <v>"xlit|pbPmtTnlkgKhjzcsJZCSwiuMaOoeyxB@NGHWRDVIUAQEYX123570|1!qa2wsxeEdcbyhnBYHN?ujm8ik,9l.0p;:/-OAUJ*I&lt;(L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0"/>
      <c r="AX8" s="2"/>
      <c r="AY8" s="448" cm="1">
        <f t="array" ref="AY8" xml:space="preserve"> COLUMN() - COLUMN($AY:$AY)</f>
        <v>0</v>
      </c>
      <c r="AZ8" s="448" cm="1">
        <f t="array" ref="AZ8" xml:space="preserve"> COLUMN() - COLUMN($AY:$AY)</f>
        <v>1</v>
      </c>
      <c r="BA8" s="448" cm="1">
        <f t="array" ref="BA8" xml:space="preserve"> COLUMN() - COLUMN($AY:$AY)</f>
        <v>2</v>
      </c>
      <c r="BB8" s="448" cm="1">
        <f t="array" ref="BB8" xml:space="preserve"> COLUMN() - COLUMN($AY:$AY)</f>
        <v>3</v>
      </c>
      <c r="BC8" s="448" cm="1">
        <f t="array" ref="BC8" xml:space="preserve"> COLUMN() - COLUMN($AY:$AY)</f>
        <v>4</v>
      </c>
      <c r="BD8" s="448" cm="1">
        <f t="array" ref="BD8" xml:space="preserve"> COLUMN() - COLUMN($AY:$AY)</f>
        <v>5</v>
      </c>
      <c r="BE8" s="448" cm="1">
        <f t="array" ref="BE8" xml:space="preserve"> COLUMN() - COLUMN($AY:$AY)</f>
        <v>6</v>
      </c>
      <c r="BF8" s="448" cm="1">
        <f t="array" ref="BF8" xml:space="preserve"> COLUMN() - COLUMN($AY:$AY)</f>
        <v>7</v>
      </c>
      <c r="BG8" s="448" cm="1">
        <f t="array" ref="BG8" xml:space="preserve"> COLUMN() - COLUMN($AY:$AY)</f>
        <v>8</v>
      </c>
      <c r="BH8" s="448" cm="1">
        <f t="array" ref="BH8" xml:space="preserve"> COLUMN() - COLUMN($AY:$AY)</f>
        <v>9</v>
      </c>
      <c r="BI8" s="448" cm="1">
        <f t="array" ref="BI8" xml:space="preserve"> COLUMN() - COLUMN($AY:$AY)</f>
        <v>10</v>
      </c>
      <c r="BJ8" s="448" cm="1">
        <f t="array" ref="BJ8" xml:space="preserve"> COLUMN() - COLUMN($AY:$AY)</f>
        <v>11</v>
      </c>
      <c r="BK8" s="448" cm="1">
        <f t="array" ref="BK8" xml:space="preserve"> COLUMN() - COLUMN($AY:$AY)</f>
        <v>12</v>
      </c>
      <c r="BL8" s="448" cm="1">
        <f t="array" ref="BL8" xml:space="preserve"> COLUMN() - COLUMN($AY:$AY)</f>
        <v>13</v>
      </c>
      <c r="BM8" s="448" cm="1">
        <f t="array" ref="BM8" xml:space="preserve"> COLUMN() - COLUMN($AY:$AY)</f>
        <v>14</v>
      </c>
      <c r="BN8" s="448" cm="1">
        <f t="array" ref="BN8" xml:space="preserve"> COLUMN() - COLUMN($AY:$AY)</f>
        <v>15</v>
      </c>
      <c r="BO8" s="448" cm="1">
        <f t="array" ref="BO8" xml:space="preserve"> COLUMN() - COLUMN($AY:$AY)</f>
        <v>16</v>
      </c>
      <c r="BP8" s="448" cm="1">
        <f t="array" ref="BP8" xml:space="preserve"> COLUMN() - COLUMN($AY:$AY)</f>
        <v>17</v>
      </c>
      <c r="BQ8" s="448" cm="1">
        <f t="array" ref="BQ8" xml:space="preserve"> COLUMN() - COLUMN($AY:$AY)</f>
        <v>18</v>
      </c>
      <c r="BR8" s="448" cm="1">
        <f t="array" ref="BR8" xml:space="preserve"> COLUMN() - COLUMN($AY:$AY)</f>
        <v>19</v>
      </c>
      <c r="BS8" s="448" cm="1">
        <f t="array" ref="BS8" xml:space="preserve"> COLUMN() - COLUMN($AY:$AY)</f>
        <v>20</v>
      </c>
      <c r="BT8" s="448" cm="1">
        <f t="array" ref="BT8" xml:space="preserve"> COLUMN() - COLUMN($AY:$AY)</f>
        <v>21</v>
      </c>
      <c r="BU8" s="448" cm="1">
        <f t="array" ref="BU8" xml:space="preserve"> COLUMN() - COLUMN($AY:$AY)</f>
        <v>22</v>
      </c>
      <c r="BV8" s="448" cm="1">
        <f t="array" ref="BV8" xml:space="preserve"> COLUMN() - COLUMN($AY:$AY)</f>
        <v>23</v>
      </c>
      <c r="BW8" s="448" cm="1">
        <f t="array" ref="BW8" xml:space="preserve"> COLUMN() - COLUMN($AY:$AY)</f>
        <v>24</v>
      </c>
      <c r="BX8" s="448" cm="1">
        <f t="array" ref="BX8" xml:space="preserve"> COLUMN() - COLUMN($AY:$AY)</f>
        <v>25</v>
      </c>
      <c r="BY8" s="448" cm="1">
        <f t="array" ref="BY8" xml:space="preserve"> COLUMN() - COLUMN($AY:$AY)</f>
        <v>26</v>
      </c>
      <c r="BZ8" s="448" cm="1">
        <f t="array" ref="BZ8" xml:space="preserve"> COLUMN() - COLUMN($AY:$AY)</f>
        <v>27</v>
      </c>
      <c r="CA8" s="448" cm="1">
        <f t="array" ref="CA8" xml:space="preserve"> COLUMN() - COLUMN($AY:$AY)</f>
        <v>28</v>
      </c>
      <c r="CB8" s="448" cm="1">
        <f t="array" ref="CB8" xml:space="preserve"> COLUMN() - COLUMN($AY:$AY)</f>
        <v>29</v>
      </c>
      <c r="CC8" s="448" cm="1">
        <f t="array" ref="CC8" xml:space="preserve"> COLUMN() - COLUMN($AY:$AY)</f>
        <v>30</v>
      </c>
      <c r="CD8" s="448" cm="1">
        <f t="array" ref="CD8" xml:space="preserve"> COLUMN() - COLUMN($AY:$AY)</f>
        <v>31</v>
      </c>
      <c r="CE8" s="448" cm="1">
        <f t="array" ref="CE8" xml:space="preserve"> COLUMN() - COLUMN($AY:$AY)</f>
        <v>32</v>
      </c>
      <c r="CF8" s="448" cm="1">
        <f t="array" ref="CF8" xml:space="preserve"> COLUMN() - COLUMN($AY:$AY)</f>
        <v>33</v>
      </c>
      <c r="CG8" s="448" cm="1">
        <f t="array" ref="CG8" xml:space="preserve"> COLUMN() - COLUMN($AY:$AY)</f>
        <v>34</v>
      </c>
      <c r="CH8" s="448" cm="1">
        <f t="array" ref="CH8" xml:space="preserve"> COLUMN() - COLUMN($AY:$AY)</f>
        <v>35</v>
      </c>
      <c r="CI8" s="448" cm="1">
        <f t="array" ref="CI8" xml:space="preserve"> COLUMN() - COLUMN($AY:$AY)</f>
        <v>36</v>
      </c>
      <c r="CJ8" s="448" cm="1">
        <f t="array" ref="CJ8" xml:space="preserve"> COLUMN() - COLUMN($AY:$AY)</f>
        <v>37</v>
      </c>
      <c r="CK8" s="448" cm="1">
        <f t="array" ref="CK8" xml:space="preserve"> COLUMN() - COLUMN($AY:$AY)</f>
        <v>38</v>
      </c>
      <c r="CL8" s="448" cm="1">
        <f t="array" ref="CL8" xml:space="preserve"> COLUMN() - COLUMN($AY:$AY)</f>
        <v>39</v>
      </c>
      <c r="CM8" s="448" cm="1">
        <f t="array" ref="CM8" xml:space="preserve"> COLUMN() - COLUMN($AY:$AY)</f>
        <v>40</v>
      </c>
      <c r="CN8" s="448" cm="1">
        <f t="array" ref="CN8" xml:space="preserve"> COLUMN() - COLUMN($AY:$AY)</f>
        <v>41</v>
      </c>
      <c r="CO8" s="448" cm="1">
        <f t="array" ref="CO8" xml:space="preserve"> COLUMN() - COLUMN($AY:$AY)</f>
        <v>42</v>
      </c>
      <c r="CP8" s="448" cm="1">
        <f t="array" ref="CP8" xml:space="preserve"> COLUMN() - COLUMN($AY:$AY)</f>
        <v>43</v>
      </c>
      <c r="CQ8" s="448" cm="1">
        <f t="array" ref="CQ8" xml:space="preserve"> COLUMN() - COLUMN($AY:$AY)</f>
        <v>44</v>
      </c>
      <c r="CR8" s="448" cm="1">
        <f t="array" ref="CR8" xml:space="preserve"> COLUMN() - COLUMN($AY:$AY)</f>
        <v>45</v>
      </c>
      <c r="CS8" s="448" cm="1">
        <f t="array" ref="CS8" xml:space="preserve"> COLUMN() - COLUMN($AY:$AY)</f>
        <v>46</v>
      </c>
      <c r="CT8" s="448" cm="1">
        <f t="array" ref="CT8" xml:space="preserve"> COLUMN() - COLUMN($AY:$AY)</f>
        <v>47</v>
      </c>
      <c r="CU8" s="448" cm="1">
        <f t="array" ref="CU8" xml:space="preserve"> COLUMN() - COLUMN($AY:$AY)</f>
        <v>48</v>
      </c>
      <c r="CV8" s="448" cm="1">
        <f t="array" ref="CV8" xml:space="preserve"> COLUMN() - COLUMN($AY:$AY)</f>
        <v>49</v>
      </c>
      <c r="CW8" s="448" cm="1">
        <f t="array" ref="CW8" xml:space="preserve"> COLUMN() - COLUMN($AY:$AY)</f>
        <v>50</v>
      </c>
      <c r="CX8" s="448" cm="1">
        <f t="array" ref="CX8" xml:space="preserve"> COLUMN() - COLUMN($AY:$AY)</f>
        <v>51</v>
      </c>
    </row>
    <row r="9" spans="2:102" ht="32.25">
      <c r="H9" s="2">
        <f t="shared" si="6"/>
        <v>7</v>
      </c>
      <c r="I9" s="136" t="str">
        <f t="shared" si="7"/>
        <v>n</v>
      </c>
      <c r="J9" s="136" t="str">
        <f t="shared" si="8"/>
        <v>s</v>
      </c>
      <c r="L9" s="2">
        <v>7</v>
      </c>
      <c r="M9" s="21" t="str">
        <f t="shared" si="9"/>
        <v>s</v>
      </c>
      <c r="N9" s="21" t="str">
        <f t="shared" si="10"/>
        <v>ㄋ</v>
      </c>
      <c r="P9" s="2">
        <v>7</v>
      </c>
      <c r="Q9" s="22" t="str">
        <f t="shared" si="11"/>
        <v>k</v>
      </c>
      <c r="R9" s="22" t="str">
        <f t="shared" si="12"/>
        <v>ㄍ</v>
      </c>
      <c r="T9" s="2">
        <v>7</v>
      </c>
      <c r="U9" s="409" t="str">
        <f t="shared" si="0"/>
        <v>s</v>
      </c>
      <c r="V9" s="411" t="str">
        <f t="shared" si="1"/>
        <v>n</v>
      </c>
      <c r="W9" s="410" t="str" cm="1">
        <f t="array" ref="W9" xml:space="preserve"> INDEX(注音編碼對照表!$E$3:$E$58, MATCH(TRUE, EXACT(表格1_33411[[#This Row],[注音編碼]], 注音編碼對照表!$D$3:$D$54),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13"/>
        <v>7</v>
      </c>
      <c r="AA9" s="71" t="str">
        <f t="shared" si="2"/>
        <v>s</v>
      </c>
      <c r="AB9" s="379" t="str">
        <f t="shared" si="3"/>
        <v>n</v>
      </c>
      <c r="AC9" s="32" t="str">
        <f t="shared" si="4"/>
        <v>ㄋ</v>
      </c>
      <c r="AD9" s="430" t="str">
        <f t="shared" si="5"/>
        <v>n</v>
      </c>
      <c r="AE9" s="2"/>
      <c r="AF9" s="423" t="s">
        <v>642</v>
      </c>
      <c r="AG9" s="1">
        <f xml:space="preserve"> LEN(AH9)</f>
        <v>52</v>
      </c>
      <c r="AH9" s="37" t="str">
        <f xml:space="preserve"> _xlfn.CONCAT(AB$3:AB$54)</f>
        <v>pbPmtTnlkgKhjzcsJZCSwiuMaOoeyxB@NGHWRDVIUAQEYX123570</v>
      </c>
      <c r="AU9" s="38" t="s">
        <v>25</v>
      </c>
      <c r="AV9" s="461" t="s">
        <v>365</v>
      </c>
      <c r="AW9" s="40">
        <f xml:space="preserve"> FIND(AV9, AH9)</f>
        <v>51</v>
      </c>
      <c r="AX9" s="2"/>
      <c r="AY9" s="444" t="e">
        <f xml:space="preserve"> MID($AH$9, AY$13, 1)</f>
        <v>#VALUE!</v>
      </c>
      <c r="AZ9" s="444" t="str">
        <f xml:space="preserve"> MID($AH$9, AZ$13, 1)</f>
        <v>p</v>
      </c>
      <c r="BA9" s="444" t="str">
        <f xml:space="preserve"> MID($AH$9, BA$13, 1)</f>
        <v>b</v>
      </c>
      <c r="BB9" s="444" t="str">
        <f xml:space="preserve"> MID($AH$9, BB$13, 1)</f>
        <v>P</v>
      </c>
      <c r="BC9" s="444" t="str">
        <f xml:space="preserve"> MID($AH$9, BC$13, 1)</f>
        <v>m</v>
      </c>
      <c r="BD9" s="444" t="str">
        <f xml:space="preserve"> MID($AH$9, BD$13, 1)</f>
        <v>t</v>
      </c>
      <c r="BE9" s="444" t="str">
        <f xml:space="preserve"> MID($AH$9, BE$13, 1)</f>
        <v>T</v>
      </c>
      <c r="BF9" s="444" t="str">
        <f xml:space="preserve"> MID($AH$9, BF$13, 1)</f>
        <v>n</v>
      </c>
      <c r="BG9" s="444" t="str">
        <f xml:space="preserve"> MID($AH$9, BG$13, 1)</f>
        <v>l</v>
      </c>
      <c r="BH9" s="444" t="str">
        <f xml:space="preserve"> MID($AH$9, BH$13, 1)</f>
        <v>k</v>
      </c>
      <c r="BI9" s="444" t="str">
        <f xml:space="preserve"> MID($AH$9, BI$13, 1)</f>
        <v>g</v>
      </c>
      <c r="BJ9" s="444" t="str">
        <f xml:space="preserve"> MID($AH$9, BJ$13, 1)</f>
        <v>K</v>
      </c>
      <c r="BK9" s="444" t="str">
        <f xml:space="preserve"> MID($AH$9, BK$13, 1)</f>
        <v>h</v>
      </c>
      <c r="BL9" s="444" t="str">
        <f xml:space="preserve"> MID($AH$9, BL$13, 1)</f>
        <v>j</v>
      </c>
      <c r="BM9" s="444" t="str">
        <f xml:space="preserve"> MID($AH$9, BM$13, 1)</f>
        <v>z</v>
      </c>
      <c r="BN9" s="444" t="str">
        <f xml:space="preserve"> MID($AH$9, BN$13, 1)</f>
        <v>c</v>
      </c>
      <c r="BO9" s="444" t="str">
        <f xml:space="preserve"> MID($AH$9, BO$13, 1)</f>
        <v>s</v>
      </c>
      <c r="BP9" s="444" t="str">
        <f xml:space="preserve"> MID($AH$9, BP$13, 1)</f>
        <v>J</v>
      </c>
      <c r="BQ9" s="444" t="str">
        <f xml:space="preserve"> MID($AH$9, BQ$13, 1)</f>
        <v>Z</v>
      </c>
      <c r="BR9" s="444" t="str">
        <f xml:space="preserve"> MID($AH$9, BR$13, 1)</f>
        <v>C</v>
      </c>
      <c r="BS9" s="444" t="str">
        <f xml:space="preserve"> MID($AH$9, BS$13, 1)</f>
        <v>S</v>
      </c>
      <c r="BT9" s="444" t="str">
        <f xml:space="preserve"> MID($AH$9, BT$13, 1)</f>
        <v>w</v>
      </c>
      <c r="BU9" s="444" t="str">
        <f xml:space="preserve"> MID($AH$9, BU$13, 1)</f>
        <v>i</v>
      </c>
      <c r="BV9" s="444" t="str">
        <f xml:space="preserve"> MID($AH$9, BV$13, 1)</f>
        <v>u</v>
      </c>
      <c r="BW9" s="444" t="str">
        <f xml:space="preserve"> MID($AH$9, BW$13, 1)</f>
        <v>M</v>
      </c>
      <c r="BX9" s="444" t="str">
        <f xml:space="preserve"> MID($AH$9, BX$13, 1)</f>
        <v>a</v>
      </c>
      <c r="BY9" s="444" t="str">
        <f xml:space="preserve"> MID($AH$9, BY$13, 1)</f>
        <v>O</v>
      </c>
      <c r="BZ9" s="444" t="str">
        <f xml:space="preserve"> MID($AH$9, BZ$13, 1)</f>
        <v>o</v>
      </c>
      <c r="CA9" s="444" t="str">
        <f xml:space="preserve"> MID($AH$9, CA$13, 1)</f>
        <v>e</v>
      </c>
      <c r="CB9" s="447" t="str">
        <f xml:space="preserve"> MID($AH$9, CB$13, 1)</f>
        <v>y</v>
      </c>
      <c r="CC9" s="444" t="str">
        <f xml:space="preserve"> MID($AH$9, CC$13, 1)</f>
        <v>x</v>
      </c>
      <c r="CD9" s="444" t="str">
        <f xml:space="preserve"> MID($AH$9, CD$13, 1)</f>
        <v>B</v>
      </c>
      <c r="CE9" s="444" t="str">
        <f xml:space="preserve"> MID($AH$9, CE$13, 1)</f>
        <v>@</v>
      </c>
      <c r="CF9" s="444" t="str">
        <f xml:space="preserve"> MID($AH$9, CF$13, 1)</f>
        <v>N</v>
      </c>
      <c r="CG9" s="444" t="str">
        <f xml:space="preserve"> MID($AH$9, CG$13, 1)</f>
        <v>G</v>
      </c>
      <c r="CH9" s="444" t="str">
        <f xml:space="preserve"> MID($AH$9, CH$13, 1)</f>
        <v>H</v>
      </c>
      <c r="CI9" s="444" t="str">
        <f xml:space="preserve"> MID($AH$9, CI$13, 1)</f>
        <v>W</v>
      </c>
      <c r="CJ9" s="444" t="str">
        <f xml:space="preserve"> MID($AH$9, CJ$13, 1)</f>
        <v>R</v>
      </c>
      <c r="CK9" s="444" t="str">
        <f xml:space="preserve"> MID($AH$9, CK$13, 1)</f>
        <v>D</v>
      </c>
      <c r="CL9" s="444" t="str">
        <f xml:space="preserve"> MID($AH$9, CL$13, 1)</f>
        <v>V</v>
      </c>
      <c r="CM9" s="447" t="str">
        <f xml:space="preserve"> MID($AH$9, CM$13, 1)</f>
        <v>I</v>
      </c>
      <c r="CN9" s="447" t="str">
        <f xml:space="preserve"> MID($AH$9, CN$13, 1)</f>
        <v>U</v>
      </c>
      <c r="CO9" s="447" t="str">
        <f xml:space="preserve"> MID($AH$9, CO$13, 1)</f>
        <v>A</v>
      </c>
      <c r="CP9" s="447" t="str">
        <f xml:space="preserve"> MID($AH$9, CP$13, 1)</f>
        <v>Q</v>
      </c>
      <c r="CQ9" s="447" t="str">
        <f xml:space="preserve"> MID($AH$9, CQ$13, 1)</f>
        <v>E</v>
      </c>
      <c r="CR9" s="463" t="str">
        <f xml:space="preserve"> MID($AH$9, CR$13, 1)</f>
        <v>Y</v>
      </c>
      <c r="CS9" s="444" t="str">
        <f xml:space="preserve"> MID($AH$9, CS$13, 1)</f>
        <v>X</v>
      </c>
      <c r="CT9" s="444" t="str">
        <f xml:space="preserve"> MID($AH$9, CT$13, 1)</f>
        <v>1</v>
      </c>
      <c r="CU9" s="444" t="str">
        <f xml:space="preserve"> MID($AH$9, CU$13, 1)</f>
        <v>2</v>
      </c>
      <c r="CV9" s="444" t="str">
        <f xml:space="preserve"> MID($AH$9, CV$13, 1)</f>
        <v>3</v>
      </c>
      <c r="CW9" s="444" t="str">
        <f xml:space="preserve"> MID($AH$9, CW$13, 1)</f>
        <v>5</v>
      </c>
      <c r="CX9" s="444" t="str">
        <f xml:space="preserve"> MID($AH$9, CX$13, 1)</f>
        <v>7</v>
      </c>
    </row>
    <row r="10" spans="2:102" ht="32.25">
      <c r="B10" s="1" t="s">
        <v>2</v>
      </c>
      <c r="H10" s="2">
        <f t="shared" si="6"/>
        <v>8</v>
      </c>
      <c r="I10" s="136" t="str">
        <f t="shared" si="7"/>
        <v>l</v>
      </c>
      <c r="J10" s="136" t="str">
        <f t="shared" si="8"/>
        <v>x</v>
      </c>
      <c r="L10" s="2">
        <v>8</v>
      </c>
      <c r="M10" s="21" t="str">
        <f t="shared" si="9"/>
        <v>x</v>
      </c>
      <c r="N10" s="21" t="str">
        <f t="shared" si="10"/>
        <v>ㄌ</v>
      </c>
      <c r="P10" s="2">
        <v>8</v>
      </c>
      <c r="Q10" s="22" t="str">
        <f t="shared" si="11"/>
        <v>K</v>
      </c>
      <c r="R10" s="22" t="str">
        <f t="shared" si="12"/>
        <v>ㄎ</v>
      </c>
      <c r="T10" s="2">
        <v>8</v>
      </c>
      <c r="U10" s="409" t="str">
        <f t="shared" si="0"/>
        <v>x</v>
      </c>
      <c r="V10" s="411" t="str">
        <f t="shared" si="1"/>
        <v>l</v>
      </c>
      <c r="W10" s="410" t="str" cm="1">
        <f t="array" ref="W10" xml:space="preserve"> INDEX(注音編碼對照表!$E$3:$E$58, MATCH(TRUE, EXACT(表格1_33411[[#This Row],[注音編碼]], 注音編碼對照表!$D$3:$D$54),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13"/>
        <v>8</v>
      </c>
      <c r="AA10" s="71" t="str">
        <f t="shared" si="2"/>
        <v>x</v>
      </c>
      <c r="AB10" s="379" t="str">
        <f t="shared" si="3"/>
        <v>l</v>
      </c>
      <c r="AC10" s="32" t="str">
        <f t="shared" si="4"/>
        <v>ㄌ</v>
      </c>
      <c r="AD10" s="430" t="str">
        <f t="shared" si="5"/>
        <v>l</v>
      </c>
      <c r="AE10" s="2"/>
      <c r="AF10" s="424" t="s">
        <v>11</v>
      </c>
      <c r="AG10" s="1">
        <f xml:space="preserve"> LEN(AH10)</f>
        <v>52</v>
      </c>
      <c r="AH10" s="37" t="str">
        <f>_xlfn.CONCAT(AA3:AA54)</f>
        <v>1!qa2wsxeEdcbyhnBYHN?ujm8ik,9l.0p;:/-OAUJ*I&lt;(L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X10" s="2"/>
      <c r="AY10" s="444" t="e">
        <f xml:space="preserve"> MID($AH$10, AY$13, 1)</f>
        <v>#VALUE!</v>
      </c>
      <c r="AZ10" s="444" t="str">
        <f xml:space="preserve"> MID($AH$10, AZ$13, 1)</f>
        <v>1</v>
      </c>
      <c r="BA10" s="444" t="str">
        <f xml:space="preserve"> MID($AH$10, BA$13, 1)</f>
        <v>!</v>
      </c>
      <c r="BB10" s="444" t="str">
        <f xml:space="preserve"> MID($AH$10, BB$13, 1)</f>
        <v>q</v>
      </c>
      <c r="BC10" s="444" t="str">
        <f xml:space="preserve"> MID($AH$10, BC$13, 1)</f>
        <v>a</v>
      </c>
      <c r="BD10" s="444" t="str">
        <f xml:space="preserve"> MID($AH$10, BD$13, 1)</f>
        <v>2</v>
      </c>
      <c r="BE10" s="444" t="str">
        <f xml:space="preserve"> MID($AH$10, BE$13, 1)</f>
        <v>w</v>
      </c>
      <c r="BF10" s="444" t="str">
        <f xml:space="preserve"> MID($AH$10, BF$13, 1)</f>
        <v>s</v>
      </c>
      <c r="BG10" s="444" t="str">
        <f xml:space="preserve"> MID($AH$10, BG$13, 1)</f>
        <v>x</v>
      </c>
      <c r="BH10" s="444" t="str">
        <f xml:space="preserve"> MID($AH$10, BH$13, 1)</f>
        <v>e</v>
      </c>
      <c r="BI10" s="444" t="str">
        <f xml:space="preserve"> MID($AH$10, BI$13, 1)</f>
        <v>E</v>
      </c>
      <c r="BJ10" s="444" t="str">
        <f xml:space="preserve"> MID($AH$10, BJ$13, 1)</f>
        <v>d</v>
      </c>
      <c r="BK10" s="444" t="str">
        <f xml:space="preserve"> MID($AH$10, BK$13, 1)</f>
        <v>c</v>
      </c>
      <c r="BL10" s="444" t="str">
        <f xml:space="preserve"> MID($AH$10, BL$13, 1)</f>
        <v>b</v>
      </c>
      <c r="BM10" s="444" t="str">
        <f xml:space="preserve"> MID($AH$10, BM$13, 1)</f>
        <v>y</v>
      </c>
      <c r="BN10" s="444" t="str">
        <f xml:space="preserve"> MID($AH$10, BN$13, 1)</f>
        <v>h</v>
      </c>
      <c r="BO10" s="444" t="str">
        <f xml:space="preserve"> MID($AH$10, BO$13, 1)</f>
        <v>n</v>
      </c>
      <c r="BP10" s="444" t="str">
        <f xml:space="preserve"> MID($AH$10, BP$13, 1)</f>
        <v>B</v>
      </c>
      <c r="BQ10" s="444" t="str">
        <f xml:space="preserve"> MID($AH$10, BQ$13, 1)</f>
        <v>Y</v>
      </c>
      <c r="BR10" s="444" t="str">
        <f xml:space="preserve"> MID($AH$10, BR$13, 1)</f>
        <v>H</v>
      </c>
      <c r="BS10" s="444" t="str">
        <f xml:space="preserve"> MID($AH$10, BS$13, 1)</f>
        <v>N</v>
      </c>
      <c r="BT10" s="444" t="str">
        <f xml:space="preserve"> MID($AH$10, BT$13, 1)</f>
        <v>?</v>
      </c>
      <c r="BU10" s="444" t="str">
        <f xml:space="preserve"> MID($AH$10, BU$13, 1)</f>
        <v>u</v>
      </c>
      <c r="BV10" s="444" t="str">
        <f xml:space="preserve"> MID($AH$10, BV$13, 1)</f>
        <v>j</v>
      </c>
      <c r="BW10" s="444" t="str">
        <f xml:space="preserve"> MID($AH$10, BW$13, 1)</f>
        <v>m</v>
      </c>
      <c r="BX10" s="444" t="str">
        <f xml:space="preserve"> MID($AH$10, BX$13, 1)</f>
        <v>8</v>
      </c>
      <c r="BY10" s="444" t="str">
        <f xml:space="preserve"> MID($AH$10, BY$13, 1)</f>
        <v>i</v>
      </c>
      <c r="BZ10" s="444" t="str">
        <f xml:space="preserve"> MID($AH$10, BZ$13, 1)</f>
        <v>k</v>
      </c>
      <c r="CA10" s="444" t="str">
        <f xml:space="preserve"> MID($AH$10, CA$13, 1)</f>
        <v>,</v>
      </c>
      <c r="CB10" s="447" t="str">
        <f xml:space="preserve"> MID($AH$10, CB$13, 1)</f>
        <v>9</v>
      </c>
      <c r="CC10" s="444" t="str">
        <f xml:space="preserve"> MID($AH$10, CC$13, 1)</f>
        <v>l</v>
      </c>
      <c r="CD10" s="444" t="str">
        <f xml:space="preserve"> MID($AH$10, CD$13, 1)</f>
        <v>.</v>
      </c>
      <c r="CE10" s="444" t="str">
        <f xml:space="preserve"> MID($AH$10, CE$13, 1)</f>
        <v>0</v>
      </c>
      <c r="CF10" s="444" t="str">
        <f xml:space="preserve"> MID($AH$10, CF$13, 1)</f>
        <v>p</v>
      </c>
      <c r="CG10" s="444" t="str">
        <f xml:space="preserve"> MID($AH$10, CG$13, 1)</f>
        <v>;</v>
      </c>
      <c r="CH10" s="444" t="str">
        <f xml:space="preserve"> MID($AH$10, CH$13, 1)</f>
        <v>:</v>
      </c>
      <c r="CI10" s="444" t="str">
        <f xml:space="preserve"> MID($AH$10, CI$13, 1)</f>
        <v>/</v>
      </c>
      <c r="CJ10" s="444" t="str">
        <f xml:space="preserve"> MID($AH$10, CJ$13, 1)</f>
        <v>-</v>
      </c>
      <c r="CK10" s="444" t="str">
        <f xml:space="preserve"> MID($AH$10, CK$13, 1)</f>
        <v>O</v>
      </c>
      <c r="CL10" s="444" t="str">
        <f xml:space="preserve"> MID($AH$10, CL$13, 1)</f>
        <v>A</v>
      </c>
      <c r="CM10" s="447" t="str">
        <f xml:space="preserve"> MID($AH$10, CM$13, 1)</f>
        <v>U</v>
      </c>
      <c r="CN10" s="447" t="str">
        <f xml:space="preserve"> MID($AH$10, CN$13, 1)</f>
        <v>J</v>
      </c>
      <c r="CO10" s="447" t="str">
        <f xml:space="preserve"> MID($AH$10, CO$13, 1)</f>
        <v>*</v>
      </c>
      <c r="CP10" s="447" t="str">
        <f xml:space="preserve"> MID($AH$10, CP$13, 1)</f>
        <v>I</v>
      </c>
      <c r="CQ10" s="447" t="str">
        <f xml:space="preserve"> MID($AH$10, CQ$13, 1)</f>
        <v>&lt;</v>
      </c>
      <c r="CR10" s="463" t="str">
        <f xml:space="preserve"> MID($AH$10, CR$13, 1)</f>
        <v>(</v>
      </c>
      <c r="CS10" s="444" t="str">
        <f xml:space="preserve"> MID($AH$10, CS$13, 1)</f>
        <v>L</v>
      </c>
      <c r="CT10" s="444" t="str">
        <f xml:space="preserve"> MID($AH$10, CT$13, 1)</f>
        <v xml:space="preserve"> </v>
      </c>
      <c r="CU10" s="444" t="str">
        <f xml:space="preserve"> MID($AH$10, CU$13, 1)</f>
        <v>4</v>
      </c>
      <c r="CV10" s="444" t="str">
        <f xml:space="preserve"> MID($AH$10, CV$13, 1)</f>
        <v>3</v>
      </c>
      <c r="CW10" s="444" t="str">
        <f xml:space="preserve"> MID($AH$10, CW$13, 1)</f>
        <v>6</v>
      </c>
      <c r="CX10" s="444" t="str">
        <f xml:space="preserve"> MID($AH$10, CX$13, 1)</f>
        <v>5</v>
      </c>
    </row>
    <row r="11" spans="2:102" ht="32.25">
      <c r="B11" s="408" t="s">
        <v>666</v>
      </c>
      <c r="H11" s="2">
        <f t="shared" si="6"/>
        <v>9</v>
      </c>
      <c r="I11" s="136" t="str">
        <f t="shared" si="7"/>
        <v>k</v>
      </c>
      <c r="J11" s="136" t="str">
        <f t="shared" si="8"/>
        <v>e</v>
      </c>
      <c r="L11" s="2">
        <v>9</v>
      </c>
      <c r="M11" s="21" t="str">
        <f t="shared" si="9"/>
        <v>e</v>
      </c>
      <c r="N11" s="21" t="str">
        <f t="shared" si="10"/>
        <v>ㄍ</v>
      </c>
      <c r="P11" s="2">
        <v>9</v>
      </c>
      <c r="Q11" s="22" t="str">
        <f t="shared" si="11"/>
        <v>g</v>
      </c>
      <c r="R11" s="22" t="str">
        <f t="shared" si="12"/>
        <v>ㆣ</v>
      </c>
      <c r="T11" s="2">
        <v>9</v>
      </c>
      <c r="U11" s="409" t="str">
        <f t="shared" si="0"/>
        <v>e</v>
      </c>
      <c r="V11" s="411" t="str">
        <f t="shared" si="1"/>
        <v>k</v>
      </c>
      <c r="W11" s="410" t="str" cm="1">
        <f t="array" ref="W11" xml:space="preserve"> INDEX(注音編碼對照表!$E$3:$E$58, MATCH(TRUE, EXACT(表格1_33411[[#This Row],[注音編碼]], 注音編碼對照表!$D$3:$D$54),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13"/>
        <v>9</v>
      </c>
      <c r="AA11" s="71" t="str">
        <f t="shared" si="2"/>
        <v>e</v>
      </c>
      <c r="AB11" s="379" t="str">
        <f t="shared" si="3"/>
        <v>k</v>
      </c>
      <c r="AC11" s="32" t="str">
        <f t="shared" si="4"/>
        <v>ㄍ</v>
      </c>
      <c r="AD11" s="430" t="str">
        <f t="shared" si="5"/>
        <v>k</v>
      </c>
      <c r="AE11" s="2"/>
      <c r="AF11" s="425"/>
      <c r="AG11" s="37"/>
      <c r="AH11" s="37"/>
      <c r="AQ11" s="48"/>
      <c r="AV11" s="11"/>
      <c r="AX11" s="2"/>
      <c r="AY11" s="443"/>
      <c r="BB11" s="2"/>
    </row>
    <row r="12" spans="2:102" ht="32.25">
      <c r="B12" s="2">
        <f xml:space="preserve"> SEARCH("|",$B$11,1)</f>
        <v>6</v>
      </c>
      <c r="H12" s="2">
        <f t="shared" si="6"/>
        <v>10</v>
      </c>
      <c r="I12" s="136" t="str">
        <f t="shared" si="7"/>
        <v>g</v>
      </c>
      <c r="J12" s="136" t="str">
        <f t="shared" si="8"/>
        <v>E</v>
      </c>
      <c r="L12" s="2">
        <v>10</v>
      </c>
      <c r="M12" s="21" t="str">
        <f t="shared" si="9"/>
        <v>E</v>
      </c>
      <c r="N12" s="21" t="str">
        <f t="shared" si="10"/>
        <v>ㆣ</v>
      </c>
      <c r="P12" s="2">
        <v>10</v>
      </c>
      <c r="Q12" s="22" t="str">
        <f t="shared" si="11"/>
        <v>c</v>
      </c>
      <c r="R12" s="22" t="str">
        <f t="shared" si="12"/>
        <v>ㄗ</v>
      </c>
      <c r="T12" s="2">
        <v>10</v>
      </c>
      <c r="U12" s="409" t="str">
        <f t="shared" si="0"/>
        <v>E</v>
      </c>
      <c r="V12" s="411" t="str">
        <f t="shared" si="1"/>
        <v>g</v>
      </c>
      <c r="W12" s="410" t="str" cm="1">
        <f t="array" ref="W12" xml:space="preserve"> INDEX(注音編碼對照表!$E$3:$E$58, MATCH(TRUE, EXACT(表格1_33411[[#This Row],[注音編碼]], 注音編碼對照表!$D$3:$D$54), 0))</f>
        <v>ㆣ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13"/>
        <v>10</v>
      </c>
      <c r="AA12" s="71" t="str">
        <f t="shared" si="2"/>
        <v>E</v>
      </c>
      <c r="AB12" s="379" t="str">
        <f t="shared" si="3"/>
        <v>g</v>
      </c>
      <c r="AC12" s="32" t="str">
        <f t="shared" si="4"/>
        <v>ㆣ</v>
      </c>
      <c r="AD12" s="430" t="str">
        <f t="shared" si="5"/>
        <v>g</v>
      </c>
      <c r="AE12" s="2"/>
      <c r="AF12" s="421"/>
      <c r="AG12" s="2"/>
      <c r="AH12" s="48"/>
      <c r="AV12" s="11"/>
      <c r="AX12" s="2"/>
      <c r="AY12" s="443"/>
      <c r="BB12" s="2"/>
    </row>
    <row r="13" spans="2:102" ht="32.25">
      <c r="B13" s="2">
        <f xml:space="preserve"> SEARCH("|",$B$11,B12+1)</f>
        <v>58</v>
      </c>
      <c r="H13" s="2">
        <f t="shared" si="6"/>
        <v>11</v>
      </c>
      <c r="I13" s="136" t="str">
        <f t="shared" si="7"/>
        <v>K</v>
      </c>
      <c r="J13" s="136" t="str">
        <f t="shared" si="8"/>
        <v>d</v>
      </c>
      <c r="L13" s="2">
        <v>11</v>
      </c>
      <c r="M13" s="21" t="str">
        <f t="shared" si="9"/>
        <v>d</v>
      </c>
      <c r="N13" s="21" t="str">
        <f t="shared" si="10"/>
        <v>ㄎ</v>
      </c>
      <c r="P13" s="2">
        <v>11</v>
      </c>
      <c r="Q13" s="22" t="str">
        <f t="shared" si="11"/>
        <v>C</v>
      </c>
      <c r="R13" s="22" t="str">
        <f t="shared" si="12"/>
        <v>ㄘ</v>
      </c>
      <c r="T13" s="2">
        <v>11</v>
      </c>
      <c r="U13" s="409" t="str">
        <f t="shared" si="0"/>
        <v>d</v>
      </c>
      <c r="V13" s="411" t="str">
        <f t="shared" si="1"/>
        <v>K</v>
      </c>
      <c r="W13" s="410" t="str" cm="1">
        <f t="array" ref="W13" xml:space="preserve"> INDEX(注音編碼對照表!$E$3:$E$58, MATCH(TRUE, EXACT(表格1_33411[[#This Row],[注音編碼]], 注音編碼對照表!$D$3:$D$54),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13"/>
        <v>11</v>
      </c>
      <c r="AA13" s="71" t="str">
        <f t="shared" si="2"/>
        <v>d</v>
      </c>
      <c r="AB13" s="379" t="str">
        <f t="shared" si="3"/>
        <v>K</v>
      </c>
      <c r="AC13" s="32" t="str">
        <f t="shared" si="4"/>
        <v>ㄎ</v>
      </c>
      <c r="AD13" s="430" t="str">
        <f t="shared" si="5"/>
        <v>kh</v>
      </c>
      <c r="AE13" s="2"/>
      <c r="AF13" s="422" t="s">
        <v>35</v>
      </c>
      <c r="AG13" s="2"/>
      <c r="AH13" s="458" t="str">
        <f xml:space="preserve"> """xlit|" &amp; AH14 &amp; "|" &amp; AH15 &amp; "|"""</f>
        <v>"xlit|1!qa2wsxeEdcbyhnBYHN?ujm8ik,9l.0p;:/-OAUJ*I&lt;(L43657|ㄅㆠㄆㄇㄉㄊㄋㄌㄍㆣㄎㄏㆡㄗㄘㄙㆢㄐㄑㄒㄫㄧㄨㆬㄚㆦㄜㆤㄞㄠｎㄢㄣㄤㆲㆭㆨㆱㆰㆪㆫㆩㆧㆥㆮㆯˋ˪ˊ˫˙|"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0"/>
      <c r="AX13" s="2"/>
      <c r="AY13" s="448" cm="1">
        <f t="array" ref="AY13" xml:space="preserve"> COLUMN() - COLUMN($AY:$AY)</f>
        <v>0</v>
      </c>
      <c r="AZ13" s="448" cm="1">
        <f t="array" ref="AZ13" xml:space="preserve"> COLUMN() - COLUMN($AY:$AY)</f>
        <v>1</v>
      </c>
      <c r="BA13" s="448" cm="1">
        <f t="array" ref="BA13" xml:space="preserve"> COLUMN() - COLUMN($AY:$AY)</f>
        <v>2</v>
      </c>
      <c r="BB13" s="448" cm="1">
        <f t="array" ref="BB13" xml:space="preserve"> COLUMN() - COLUMN($AY:$AY)</f>
        <v>3</v>
      </c>
      <c r="BC13" s="448" cm="1">
        <f t="array" ref="BC13" xml:space="preserve"> COLUMN() - COLUMN($AY:$AY)</f>
        <v>4</v>
      </c>
      <c r="BD13" s="448" cm="1">
        <f t="array" ref="BD13" xml:space="preserve"> COLUMN() - COLUMN($AY:$AY)</f>
        <v>5</v>
      </c>
      <c r="BE13" s="448" cm="1">
        <f t="array" ref="BE13" xml:space="preserve"> COLUMN() - COLUMN($AY:$AY)</f>
        <v>6</v>
      </c>
      <c r="BF13" s="448" cm="1">
        <f t="array" ref="BF13" xml:space="preserve"> COLUMN() - COLUMN($AY:$AY)</f>
        <v>7</v>
      </c>
      <c r="BG13" s="448" cm="1">
        <f t="array" ref="BG13" xml:space="preserve"> COLUMN() - COLUMN($AY:$AY)</f>
        <v>8</v>
      </c>
      <c r="BH13" s="448" cm="1">
        <f t="array" ref="BH13" xml:space="preserve"> COLUMN() - COLUMN($AY:$AY)</f>
        <v>9</v>
      </c>
      <c r="BI13" s="448" cm="1">
        <f t="array" ref="BI13" xml:space="preserve"> COLUMN() - COLUMN($AY:$AY)</f>
        <v>10</v>
      </c>
      <c r="BJ13" s="448" cm="1">
        <f t="array" ref="BJ13" xml:space="preserve"> COLUMN() - COLUMN($AY:$AY)</f>
        <v>11</v>
      </c>
      <c r="BK13" s="448" cm="1">
        <f t="array" ref="BK13" xml:space="preserve"> COLUMN() - COLUMN($AY:$AY)</f>
        <v>12</v>
      </c>
      <c r="BL13" s="448" cm="1">
        <f t="array" ref="BL13" xml:space="preserve"> COLUMN() - COLUMN($AY:$AY)</f>
        <v>13</v>
      </c>
      <c r="BM13" s="448" cm="1">
        <f t="array" ref="BM13" xml:space="preserve"> COLUMN() - COLUMN($AY:$AY)</f>
        <v>14</v>
      </c>
      <c r="BN13" s="448" cm="1">
        <f t="array" ref="BN13" xml:space="preserve"> COLUMN() - COLUMN($AY:$AY)</f>
        <v>15</v>
      </c>
      <c r="BO13" s="448" cm="1">
        <f t="array" ref="BO13" xml:space="preserve"> COLUMN() - COLUMN($AY:$AY)</f>
        <v>16</v>
      </c>
      <c r="BP13" s="448" cm="1">
        <f t="array" ref="BP13" xml:space="preserve"> COLUMN() - COLUMN($AY:$AY)</f>
        <v>17</v>
      </c>
      <c r="BQ13" s="448" cm="1">
        <f t="array" ref="BQ13" xml:space="preserve"> COLUMN() - COLUMN($AY:$AY)</f>
        <v>18</v>
      </c>
      <c r="BR13" s="448" cm="1">
        <f t="array" ref="BR13" xml:space="preserve"> COLUMN() - COLUMN($AY:$AY)</f>
        <v>19</v>
      </c>
      <c r="BS13" s="448" cm="1">
        <f t="array" ref="BS13" xml:space="preserve"> COLUMN() - COLUMN($AY:$AY)</f>
        <v>20</v>
      </c>
      <c r="BT13" s="448" cm="1">
        <f t="array" ref="BT13" xml:space="preserve"> COLUMN() - COLUMN($AY:$AY)</f>
        <v>21</v>
      </c>
      <c r="BU13" s="448" cm="1">
        <f t="array" ref="BU13" xml:space="preserve"> COLUMN() - COLUMN($AY:$AY)</f>
        <v>22</v>
      </c>
      <c r="BV13" s="448" cm="1">
        <f t="array" ref="BV13" xml:space="preserve"> COLUMN() - COLUMN($AY:$AY)</f>
        <v>23</v>
      </c>
      <c r="BW13" s="448" cm="1">
        <f t="array" ref="BW13" xml:space="preserve"> COLUMN() - COLUMN($AY:$AY)</f>
        <v>24</v>
      </c>
      <c r="BX13" s="448" cm="1">
        <f t="array" ref="BX13" xml:space="preserve"> COLUMN() - COLUMN($AY:$AY)</f>
        <v>25</v>
      </c>
      <c r="BY13" s="448" cm="1">
        <f t="array" ref="BY13" xml:space="preserve"> COLUMN() - COLUMN($AY:$AY)</f>
        <v>26</v>
      </c>
      <c r="BZ13" s="448" cm="1">
        <f t="array" ref="BZ13" xml:space="preserve"> COLUMN() - COLUMN($AY:$AY)</f>
        <v>27</v>
      </c>
      <c r="CA13" s="448" cm="1">
        <f t="array" ref="CA13" xml:space="preserve"> COLUMN() - COLUMN($AY:$AY)</f>
        <v>28</v>
      </c>
      <c r="CB13" s="448" cm="1">
        <f t="array" ref="CB13" xml:space="preserve"> COLUMN() - COLUMN($AY:$AY)</f>
        <v>29</v>
      </c>
      <c r="CC13" s="448" cm="1">
        <f t="array" ref="CC13" xml:space="preserve"> COLUMN() - COLUMN($AY:$AY)</f>
        <v>30</v>
      </c>
      <c r="CD13" s="448" cm="1">
        <f t="array" ref="CD13" xml:space="preserve"> COLUMN() - COLUMN($AY:$AY)</f>
        <v>31</v>
      </c>
      <c r="CE13" s="448" cm="1">
        <f t="array" ref="CE13" xml:space="preserve"> COLUMN() - COLUMN($AY:$AY)</f>
        <v>32</v>
      </c>
      <c r="CF13" s="448" cm="1">
        <f t="array" ref="CF13" xml:space="preserve"> COLUMN() - COLUMN($AY:$AY)</f>
        <v>33</v>
      </c>
      <c r="CG13" s="448" cm="1">
        <f t="array" ref="CG13" xml:space="preserve"> COLUMN() - COLUMN($AY:$AY)</f>
        <v>34</v>
      </c>
      <c r="CH13" s="448" cm="1">
        <f t="array" ref="CH13" xml:space="preserve"> COLUMN() - COLUMN($AY:$AY)</f>
        <v>35</v>
      </c>
      <c r="CI13" s="448" cm="1">
        <f t="array" ref="CI13" xml:space="preserve"> COLUMN() - COLUMN($AY:$AY)</f>
        <v>36</v>
      </c>
      <c r="CJ13" s="448" cm="1">
        <f t="array" ref="CJ13" xml:space="preserve"> COLUMN() - COLUMN($AY:$AY)</f>
        <v>37</v>
      </c>
      <c r="CK13" s="448" cm="1">
        <f t="array" ref="CK13" xml:space="preserve"> COLUMN() - COLUMN($AY:$AY)</f>
        <v>38</v>
      </c>
      <c r="CL13" s="448" cm="1">
        <f t="array" ref="CL13" xml:space="preserve"> COLUMN() - COLUMN($AY:$AY)</f>
        <v>39</v>
      </c>
      <c r="CM13" s="448" cm="1">
        <f t="array" ref="CM13" xml:space="preserve"> COLUMN() - COLUMN($AY:$AY)</f>
        <v>40</v>
      </c>
      <c r="CN13" s="448" cm="1">
        <f t="array" ref="CN13" xml:space="preserve"> COLUMN() - COLUMN($AY:$AY)</f>
        <v>41</v>
      </c>
      <c r="CO13" s="448" cm="1">
        <f t="array" ref="CO13" xml:space="preserve"> COLUMN() - COLUMN($AY:$AY)</f>
        <v>42</v>
      </c>
      <c r="CP13" s="448" cm="1">
        <f t="array" ref="CP13" xml:space="preserve"> COLUMN() - COLUMN($AY:$AY)</f>
        <v>43</v>
      </c>
      <c r="CQ13" s="448" cm="1">
        <f t="array" ref="CQ13" xml:space="preserve"> COLUMN() - COLUMN($AY:$AY)</f>
        <v>44</v>
      </c>
      <c r="CR13" s="448" cm="1">
        <f t="array" ref="CR13" xml:space="preserve"> COLUMN() - COLUMN($AY:$AY)</f>
        <v>45</v>
      </c>
      <c r="CS13" s="448" cm="1">
        <f t="array" ref="CS13" xml:space="preserve"> COLUMN() - COLUMN($AY:$AY)</f>
        <v>46</v>
      </c>
      <c r="CT13" s="448" cm="1">
        <f t="array" ref="CT13" xml:space="preserve"> COLUMN() - COLUMN($AY:$AY)</f>
        <v>47</v>
      </c>
      <c r="CU13" s="448" cm="1">
        <f t="array" ref="CU13" xml:space="preserve"> COLUMN() - COLUMN($AY:$AY)</f>
        <v>48</v>
      </c>
      <c r="CV13" s="448" cm="1">
        <f t="array" ref="CV13" xml:space="preserve"> COLUMN() - COLUMN($AY:$AY)</f>
        <v>49</v>
      </c>
      <c r="CW13" s="448" cm="1">
        <f t="array" ref="CW13" xml:space="preserve"> COLUMN() - COLUMN($AY:$AY)</f>
        <v>50</v>
      </c>
      <c r="CX13" s="448" cm="1">
        <f t="array" ref="CX13" xml:space="preserve"> COLUMN() - COLUMN($AY:$AY)</f>
        <v>51</v>
      </c>
    </row>
    <row r="14" spans="2:102" ht="32.25">
      <c r="B14" s="2">
        <f xml:space="preserve"> SEARCH("|",$B$11,B13+1)</f>
        <v>110</v>
      </c>
      <c r="H14" s="2">
        <f t="shared" si="6"/>
        <v>12</v>
      </c>
      <c r="I14" s="136" t="str">
        <f t="shared" si="7"/>
        <v>h</v>
      </c>
      <c r="J14" s="136" t="str">
        <f t="shared" si="8"/>
        <v>c</v>
      </c>
      <c r="L14" s="2">
        <v>12</v>
      </c>
      <c r="M14" s="21" t="str">
        <f t="shared" si="9"/>
        <v>c</v>
      </c>
      <c r="N14" s="21" t="str">
        <f t="shared" si="10"/>
        <v>ㄏ</v>
      </c>
      <c r="P14" s="2">
        <v>12</v>
      </c>
      <c r="Q14" s="22" t="str">
        <f t="shared" si="11"/>
        <v>z</v>
      </c>
      <c r="R14" s="22" t="str">
        <f t="shared" si="12"/>
        <v>ㆡ</v>
      </c>
      <c r="T14" s="2">
        <v>12</v>
      </c>
      <c r="U14" s="409" t="str">
        <f t="shared" si="0"/>
        <v>c</v>
      </c>
      <c r="V14" s="411" t="str">
        <f t="shared" si="1"/>
        <v>h</v>
      </c>
      <c r="W14" s="410" t="str" cm="1">
        <f t="array" ref="W14" xml:space="preserve"> INDEX(注音編碼對照表!$E$3:$E$58, MATCH(TRUE, EXACT(表格1_33411[[#This Row],[注音編碼]], 注音編碼對照表!$D$3:$D$54),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13"/>
        <v>12</v>
      </c>
      <c r="AA14" s="380" t="str">
        <f t="shared" si="2"/>
        <v>c</v>
      </c>
      <c r="AB14" s="383" t="str">
        <f t="shared" si="3"/>
        <v>h</v>
      </c>
      <c r="AC14" s="381" t="str">
        <f t="shared" si="4"/>
        <v>ㄏ</v>
      </c>
      <c r="AD14" s="432" t="str">
        <f t="shared" si="5"/>
        <v>h</v>
      </c>
      <c r="AE14" s="2"/>
      <c r="AF14" s="424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1!qa2wsxeEdcbyhnBYHN?ujm8ik,9l.0p;:/-OAUJ*I&lt;(L43657</v>
      </c>
      <c r="AU14" s="38" t="s">
        <v>25</v>
      </c>
      <c r="AV14" s="462" t="str">
        <f>AV10</f>
        <v>5</v>
      </c>
      <c r="AW14" s="40">
        <f xml:space="preserve"> FIND(AV14, AH14)</f>
        <v>50</v>
      </c>
      <c r="AX14" s="2"/>
      <c r="AY14" s="444" t="e">
        <f xml:space="preserve"> MID($AH$14, AY$13, 1)</f>
        <v>#VALUE!</v>
      </c>
      <c r="AZ14" s="445" t="str">
        <f xml:space="preserve"> MID($AH$14, AZ$13, 1)</f>
        <v>1</v>
      </c>
      <c r="BA14" s="445" t="str">
        <f xml:space="preserve"> MID($AH$14, BA$13, 1)</f>
        <v>!</v>
      </c>
      <c r="BB14" s="446" t="str">
        <f xml:space="preserve"> MID($AH$14, BB$13, 1)</f>
        <v>q</v>
      </c>
      <c r="BC14" s="446" t="str">
        <f xml:space="preserve"> MID($AH$14, BC$13, 1)</f>
        <v>a</v>
      </c>
      <c r="BD14" s="446" t="str">
        <f xml:space="preserve"> MID($AH$14, BD$13, 1)</f>
        <v>2</v>
      </c>
      <c r="BE14" s="446" t="str">
        <f xml:space="preserve"> MID($AH$14, BE$13, 1)</f>
        <v>w</v>
      </c>
      <c r="BF14" s="446" t="str">
        <f xml:space="preserve"> MID($AH$14, BF$13, 1)</f>
        <v>s</v>
      </c>
      <c r="BG14" s="446" t="str">
        <f xml:space="preserve"> MID($AH$14, BG$13, 1)</f>
        <v>x</v>
      </c>
      <c r="BH14" s="446" t="str">
        <f xml:space="preserve"> MID($AH$14, BH$13, 1)</f>
        <v>e</v>
      </c>
      <c r="BI14" s="446" t="str">
        <f xml:space="preserve"> MID($AH$14, BI$13, 1)</f>
        <v>E</v>
      </c>
      <c r="BJ14" s="446" t="str">
        <f xml:space="preserve"> MID($AH$14, BJ$13, 1)</f>
        <v>d</v>
      </c>
      <c r="BK14" s="446" t="str">
        <f xml:space="preserve"> MID($AH$14, BK$13, 1)</f>
        <v>c</v>
      </c>
      <c r="BL14" s="446" t="str">
        <f xml:space="preserve"> MID($AH$14, BL$13, 1)</f>
        <v>b</v>
      </c>
      <c r="BM14" s="446" t="str">
        <f xml:space="preserve"> MID($AH$14, BM$13, 1)</f>
        <v>y</v>
      </c>
      <c r="BN14" s="446" t="str">
        <f xml:space="preserve"> MID($AH$14, BN$13, 1)</f>
        <v>h</v>
      </c>
      <c r="BO14" s="446" t="str">
        <f xml:space="preserve"> MID($AH$14, BO$13, 1)</f>
        <v>n</v>
      </c>
      <c r="BP14" s="446" t="str">
        <f xml:space="preserve"> MID($AH$14, BP$13, 1)</f>
        <v>B</v>
      </c>
      <c r="BQ14" s="446" t="str">
        <f xml:space="preserve"> MID($AH$14, BQ$13, 1)</f>
        <v>Y</v>
      </c>
      <c r="BR14" s="446" t="str">
        <f xml:space="preserve"> MID($AH$14, BR$13, 1)</f>
        <v>H</v>
      </c>
      <c r="BS14" s="446" t="str">
        <f xml:space="preserve"> MID($AH$14, BS$13, 1)</f>
        <v>N</v>
      </c>
      <c r="BT14" s="446" t="str">
        <f xml:space="preserve"> MID($AH$14, BT$13, 1)</f>
        <v>?</v>
      </c>
      <c r="BU14" s="446" t="str">
        <f xml:space="preserve"> MID($AH$14, BU$13, 1)</f>
        <v>u</v>
      </c>
      <c r="BV14" s="446" t="str">
        <f xml:space="preserve"> MID($AH$14, BV$13, 1)</f>
        <v>j</v>
      </c>
      <c r="BW14" s="446" t="str">
        <f xml:space="preserve"> MID($AH$14, BW$13, 1)</f>
        <v>m</v>
      </c>
      <c r="BX14" s="446" t="str">
        <f xml:space="preserve"> MID($AH$14, BX$13, 1)</f>
        <v>8</v>
      </c>
      <c r="BY14" s="446" t="str">
        <f xml:space="preserve"> MID($AH$14, BY$13, 1)</f>
        <v>i</v>
      </c>
      <c r="BZ14" s="446" t="str">
        <f xml:space="preserve"> MID($AH$14, BZ$13, 1)</f>
        <v>k</v>
      </c>
      <c r="CA14" s="446" t="str">
        <f xml:space="preserve"> MID($AH$14, CA$13, 1)</f>
        <v>,</v>
      </c>
      <c r="CB14" s="447" t="str">
        <f xml:space="preserve"> MID($AH$14, CB$13, 1)</f>
        <v>9</v>
      </c>
      <c r="CC14" s="446" t="str">
        <f xml:space="preserve"> MID($AH$14, CC$13, 1)</f>
        <v>l</v>
      </c>
      <c r="CD14" s="446" t="str">
        <f xml:space="preserve"> MID($AH$14, CD$13, 1)</f>
        <v>.</v>
      </c>
      <c r="CE14" s="446" t="str">
        <f xml:space="preserve"> MID($AH$14, CE$13, 1)</f>
        <v>0</v>
      </c>
      <c r="CF14" s="446" t="str">
        <f xml:space="preserve"> MID($AH$14, CF$13, 1)</f>
        <v>p</v>
      </c>
      <c r="CG14" s="446" t="str">
        <f xml:space="preserve"> MID($AH$14, CG$13, 1)</f>
        <v>;</v>
      </c>
      <c r="CH14" s="446" t="str">
        <f xml:space="preserve"> MID($AH$14, CH$13, 1)</f>
        <v>:</v>
      </c>
      <c r="CI14" s="446" t="str">
        <f xml:space="preserve"> MID($AH$14, CI$13, 1)</f>
        <v>/</v>
      </c>
      <c r="CJ14" s="446" t="str">
        <f xml:space="preserve"> MID($AH$14, CJ$13, 1)</f>
        <v>-</v>
      </c>
      <c r="CK14" s="446" t="str">
        <f xml:space="preserve"> MID($AH$14, CK$13, 1)</f>
        <v>O</v>
      </c>
      <c r="CL14" s="446" t="str">
        <f xml:space="preserve"> MID($AH$14, CL$13, 1)</f>
        <v>A</v>
      </c>
      <c r="CM14" s="447" t="str">
        <f xml:space="preserve"> MID($AH$14, CM$13, 1)</f>
        <v>U</v>
      </c>
      <c r="CN14" s="447" t="str">
        <f xml:space="preserve"> MID($AH$14, CN$13, 1)</f>
        <v>J</v>
      </c>
      <c r="CO14" s="447" t="str">
        <f xml:space="preserve"> MID($AH$14, CO$13, 1)</f>
        <v>*</v>
      </c>
      <c r="CP14" s="447" t="str">
        <f xml:space="preserve"> MID($AH$14, CP$13, 1)</f>
        <v>I</v>
      </c>
      <c r="CQ14" s="447" t="str">
        <f xml:space="preserve"> MID($AH$14, CQ$13, 1)</f>
        <v>&lt;</v>
      </c>
      <c r="CR14" s="447" t="str">
        <f xml:space="preserve"> MID($AH$14, CR$13, 1)</f>
        <v>(</v>
      </c>
      <c r="CS14" s="446" t="str">
        <f xml:space="preserve"> MID($AH$14, CS$13, 1)</f>
        <v>L</v>
      </c>
      <c r="CT14" s="446" t="str">
        <f xml:space="preserve"> MID($AH$14, CT$13, 1)</f>
        <v>4</v>
      </c>
      <c r="CU14" s="446" t="str">
        <f xml:space="preserve"> MID($AH$14, CU$13, 1)</f>
        <v>3</v>
      </c>
      <c r="CV14" s="446" t="str">
        <f xml:space="preserve"> MID($AH$14, CV$13, 1)</f>
        <v>6</v>
      </c>
      <c r="CW14" s="446" t="str">
        <f xml:space="preserve"> MID($AH$14, CW$13, 1)</f>
        <v>5</v>
      </c>
      <c r="CX14" s="446" t="str">
        <f xml:space="preserve"> MID($AH$14, CX$13, 1)</f>
        <v>7</v>
      </c>
    </row>
    <row r="15" spans="2:102" ht="32.25">
      <c r="B15" s="50" t="str">
        <f xml:space="preserve"> MID($B$11,B12+1, B13-B12-1)</f>
        <v>1!qa2wsxeEdcbyhnBYHN?ujm8ik,9l.0p;:/-OAUJ*I&lt;(L43657</v>
      </c>
      <c r="C15" s="51">
        <f xml:space="preserve"> LEN(B15)</f>
        <v>51</v>
      </c>
      <c r="H15" s="2">
        <f t="shared" si="6"/>
        <v>13</v>
      </c>
      <c r="I15" s="136" t="str">
        <f t="shared" si="7"/>
        <v>j</v>
      </c>
      <c r="J15" s="414" t="str">
        <f t="shared" si="8"/>
        <v>b</v>
      </c>
      <c r="L15" s="2">
        <v>13</v>
      </c>
      <c r="M15" s="415" t="str">
        <f t="shared" si="9"/>
        <v>b</v>
      </c>
      <c r="N15" s="21" t="str">
        <f t="shared" si="10"/>
        <v>ㆡ</v>
      </c>
      <c r="P15" s="2">
        <v>13</v>
      </c>
      <c r="Q15" s="22" t="str">
        <f t="shared" si="11"/>
        <v>s</v>
      </c>
      <c r="R15" s="22" t="str">
        <f t="shared" si="12"/>
        <v>ㄙ</v>
      </c>
      <c r="T15" s="2">
        <v>13</v>
      </c>
      <c r="U15" s="409" t="str">
        <f t="shared" si="0"/>
        <v>b</v>
      </c>
      <c r="V15" s="411" t="str">
        <f t="shared" si="1"/>
        <v>j</v>
      </c>
      <c r="W15" s="410" t="str" cm="1">
        <f t="array" ref="W15" xml:space="preserve"> INDEX(注音編碼對照表!$E$3:$E$58, MATCH(TRUE, EXACT(表格1_33411[[#This Row],[注音編碼]], 注音編碼對照表!$D$3:$D$54), 0))</f>
        <v>ㆡ</v>
      </c>
      <c r="X15" s="412" t="str" cm="1">
        <f t="array" ref="X15" xml:space="preserve"> INDEX(注音編碼對照表!$G$3:$G$58, MATCH(TRUE, EXACT(表格1_33411[[#This Row],[注音編碼]], 注音編碼對照表!$D$3:$D$54), 0))</f>
        <v>j</v>
      </c>
      <c r="Y15" s="24"/>
      <c r="Z15" s="413">
        <f t="shared" si="13"/>
        <v>13</v>
      </c>
      <c r="AA15" s="384" t="str">
        <f t="shared" si="2"/>
        <v>b</v>
      </c>
      <c r="AB15" s="387" t="str">
        <f t="shared" si="3"/>
        <v>j</v>
      </c>
      <c r="AC15" s="385" t="str">
        <f t="shared" si="4"/>
        <v>ㆡ</v>
      </c>
      <c r="AD15" s="431" t="str">
        <f t="shared" si="5"/>
        <v>j</v>
      </c>
      <c r="AE15" s="2"/>
      <c r="AF15" s="426" t="s">
        <v>13</v>
      </c>
      <c r="AG15" s="1">
        <f xml:space="preserve"> LEN(AH15)</f>
        <v>51</v>
      </c>
      <c r="AH15" s="418" t="str">
        <f xml:space="preserve"> _xlfn.CONCAT($AC3:$AC$48, $AC$50:$AC54)</f>
        <v>ㄅㆠㄆㄇㄉㄊㄋㄌㄍㆣㄎㄏㆡㄗㄘㄙㆢㄐㄑㄒㄫㄧㄨㆬㄚㆦㄜㆤㄞㄠｎㄢㄣㄤㆲㆭㆨㆱㆰㆪㆫㆩㆧㆥㆮㆯˋ˪ˊ˫˙</v>
      </c>
      <c r="AV15" s="49" t="str">
        <f xml:space="preserve"> MID(AH15, AW14, 1)</f>
        <v>˫</v>
      </c>
      <c r="AW15" s="40"/>
      <c r="AX15" s="2"/>
      <c r="AY15" s="444" t="e">
        <f xml:space="preserve"> MID($AH$15, AY$13, 1)</f>
        <v>#VALUE!</v>
      </c>
      <c r="AZ15" s="445" t="str">
        <f xml:space="preserve"> MID($AH$15, AZ$13, 1)</f>
        <v>ㄅ</v>
      </c>
      <c r="BA15" s="445" t="str">
        <f xml:space="preserve"> MID($AH$15, BA$13, 1)</f>
        <v>ㆠ</v>
      </c>
      <c r="BB15" s="446" t="str">
        <f xml:space="preserve"> MID($AH$15, BB$13, 1)</f>
        <v>ㄆ</v>
      </c>
      <c r="BC15" s="446" t="str">
        <f xml:space="preserve"> MID($AH$15, BC$13, 1)</f>
        <v>ㄇ</v>
      </c>
      <c r="BD15" s="446" t="str">
        <f xml:space="preserve"> MID($AH$15, BD$13, 1)</f>
        <v>ㄉ</v>
      </c>
      <c r="BE15" s="446" t="str">
        <f xml:space="preserve"> MID($AH$15, BE$13, 1)</f>
        <v>ㄊ</v>
      </c>
      <c r="BF15" s="446" t="str">
        <f xml:space="preserve"> MID($AH$15, BF$13, 1)</f>
        <v>ㄋ</v>
      </c>
      <c r="BG15" s="446" t="str">
        <f xml:space="preserve"> MID($AH$15, BG$13, 1)</f>
        <v>ㄌ</v>
      </c>
      <c r="BH15" s="446" t="str">
        <f xml:space="preserve"> MID($AH$15, BH$13, 1)</f>
        <v>ㄍ</v>
      </c>
      <c r="BI15" s="446" t="str">
        <f xml:space="preserve"> MID($AH$15, BI$13, 1)</f>
        <v>ㆣ</v>
      </c>
      <c r="BJ15" s="446" t="str">
        <f xml:space="preserve"> MID($AH$15, BJ$13, 1)</f>
        <v>ㄎ</v>
      </c>
      <c r="BK15" s="446" t="str">
        <f xml:space="preserve"> MID($AH$15, BK$13, 1)</f>
        <v>ㄏ</v>
      </c>
      <c r="BL15" s="446" t="str">
        <f xml:space="preserve"> MID($AH$15, BL$13, 1)</f>
        <v>ㆡ</v>
      </c>
      <c r="BM15" s="446" t="str">
        <f xml:space="preserve"> MID($AH$15, BM$13, 1)</f>
        <v>ㄗ</v>
      </c>
      <c r="BN15" s="446" t="str">
        <f xml:space="preserve"> MID($AH$15, BN$13, 1)</f>
        <v>ㄘ</v>
      </c>
      <c r="BO15" s="446" t="str">
        <f xml:space="preserve"> MID($AH$15, BO$13, 1)</f>
        <v>ㄙ</v>
      </c>
      <c r="BP15" s="446" t="str">
        <f xml:space="preserve"> MID($AH$15, BP$13, 1)</f>
        <v>ㆢ</v>
      </c>
      <c r="BQ15" s="446" t="str">
        <f xml:space="preserve"> MID($AH$15, BQ$13, 1)</f>
        <v>ㄐ</v>
      </c>
      <c r="BR15" s="446" t="str">
        <f xml:space="preserve"> MID($AH$15, BR$13, 1)</f>
        <v>ㄑ</v>
      </c>
      <c r="BS15" s="446" t="str">
        <f xml:space="preserve"> MID($AH$15, BS$13, 1)</f>
        <v>ㄒ</v>
      </c>
      <c r="BT15" s="446" t="str">
        <f xml:space="preserve"> MID($AH$15, BT$13, 1)</f>
        <v>ㄫ</v>
      </c>
      <c r="BU15" s="446" t="str">
        <f xml:space="preserve"> MID($AH$15, BU$13, 1)</f>
        <v>ㄧ</v>
      </c>
      <c r="BV15" s="446" t="str">
        <f xml:space="preserve"> MID($AH$15, BV$13, 1)</f>
        <v>ㄨ</v>
      </c>
      <c r="BW15" s="446" t="str">
        <f xml:space="preserve"> MID($AH$15, BW$13, 1)</f>
        <v>ㆬ</v>
      </c>
      <c r="BX15" s="446" t="str">
        <f xml:space="preserve"> MID($AH$15, BX$13, 1)</f>
        <v>ㄚ</v>
      </c>
      <c r="BY15" s="446" t="str">
        <f xml:space="preserve"> MID($AH$15, BY$13, 1)</f>
        <v>ㆦ</v>
      </c>
      <c r="BZ15" s="446" t="str">
        <f xml:space="preserve"> MID($AH$15, BZ$13, 1)</f>
        <v>ㄜ</v>
      </c>
      <c r="CA15" s="446" t="str">
        <f xml:space="preserve"> MID($AH$15, CA$13, 1)</f>
        <v>ㆤ</v>
      </c>
      <c r="CB15" s="447" t="str">
        <f xml:space="preserve"> MID($AH$15, CB$13, 1)</f>
        <v>ㄞ</v>
      </c>
      <c r="CC15" s="446" t="str">
        <f xml:space="preserve"> MID($AH$15, CC$13, 1)</f>
        <v>ㄠ</v>
      </c>
      <c r="CD15" s="446" t="str">
        <f xml:space="preserve"> MID($AH$15, CD$13, 1)</f>
        <v>ｎ</v>
      </c>
      <c r="CE15" s="446" t="str">
        <f xml:space="preserve"> MID($AH$15, CE$13, 1)</f>
        <v>ㄢ</v>
      </c>
      <c r="CF15" s="446" t="str">
        <f xml:space="preserve"> MID($AH$15, CF$13, 1)</f>
        <v>ㄣ</v>
      </c>
      <c r="CG15" s="446" t="str">
        <f xml:space="preserve"> MID($AH$15, CG$13, 1)</f>
        <v>ㄤ</v>
      </c>
      <c r="CH15" s="446" t="str">
        <f xml:space="preserve"> MID($AH$15, CH$13, 1)</f>
        <v>ㆲ</v>
      </c>
      <c r="CI15" s="446" t="str">
        <f xml:space="preserve"> MID($AH$15, CI$13, 1)</f>
        <v>ㆭ</v>
      </c>
      <c r="CJ15" s="446" t="str">
        <f xml:space="preserve"> MID($AH$15, CJ$13, 1)</f>
        <v>ㆨ</v>
      </c>
      <c r="CK15" s="446" t="str">
        <f xml:space="preserve"> MID($AH$15, CK$13, 1)</f>
        <v>ㆱ</v>
      </c>
      <c r="CL15" s="446" t="str">
        <f xml:space="preserve"> MID($AH$15, CL$13, 1)</f>
        <v>ㆰ</v>
      </c>
      <c r="CM15" s="447" t="str">
        <f xml:space="preserve"> MID($AH$15, CM$13, 1)</f>
        <v>ㆪ</v>
      </c>
      <c r="CN15" s="447" t="str">
        <f xml:space="preserve"> MID($AH$15, CN$13, 1)</f>
        <v>ㆫ</v>
      </c>
      <c r="CO15" s="447" t="str">
        <f xml:space="preserve"> MID($AH$15, CO$13, 1)</f>
        <v>ㆩ</v>
      </c>
      <c r="CP15" s="447" t="str">
        <f xml:space="preserve"> MID($AH$15, CP$13, 1)</f>
        <v>ㆧ</v>
      </c>
      <c r="CQ15" s="447" t="str">
        <f xml:space="preserve"> MID($AH$15, CQ$13, 1)</f>
        <v>ㆥ</v>
      </c>
      <c r="CR15" s="447" t="str">
        <f xml:space="preserve"> MID($AH$15, CR$13, 1)</f>
        <v>ㆮ</v>
      </c>
      <c r="CS15" s="446" t="str">
        <f xml:space="preserve"> MID($AH$15, CS$13, 1)</f>
        <v>ㆯ</v>
      </c>
      <c r="CT15" s="446" t="str">
        <f xml:space="preserve"> MID($AH$15, CT$13, 1)</f>
        <v>ˋ</v>
      </c>
      <c r="CU15" s="446" t="str">
        <f xml:space="preserve"> MID($AH$15, CU$13, 1)</f>
        <v>˪</v>
      </c>
      <c r="CV15" s="446" t="str">
        <f xml:space="preserve"> MID($AH$15, CV$13, 1)</f>
        <v>ˊ</v>
      </c>
      <c r="CW15" s="446" t="str">
        <f xml:space="preserve"> MID($AH$15, CW$13, 1)</f>
        <v>˫</v>
      </c>
      <c r="CX15" s="446" t="str">
        <f xml:space="preserve"> MID($AH$15, CX$13, 1)</f>
        <v>˙</v>
      </c>
    </row>
    <row r="16" spans="2:102" ht="32.25">
      <c r="B16" s="416" t="str">
        <f xml:space="preserve"> MID($B$11,B13+1, B14-B13-1)</f>
        <v>ㄅㆠㄆㄇㄉㄊㄋㄌㄍㆣㄎㄏㆡㄗㄘㄙㆢㄐㄑㄒㄫㄧㄨㆬㄚㆦㄜㆤㄞㄠｎㄢㄣㄤㆲㆭㆨㆱㆰㆪㆫㆩㆧㆥㆮㆯˋ˪ˊ˫˙</v>
      </c>
      <c r="C16" s="51">
        <f xml:space="preserve"> LEN(B16)</f>
        <v>51</v>
      </c>
      <c r="H16" s="2">
        <f t="shared" si="6"/>
        <v>14</v>
      </c>
      <c r="I16" s="136" t="str">
        <f t="shared" si="7"/>
        <v>z</v>
      </c>
      <c r="J16" s="136" t="str">
        <f t="shared" si="8"/>
        <v>y</v>
      </c>
      <c r="L16" s="2">
        <v>14</v>
      </c>
      <c r="M16" s="21" t="str">
        <f t="shared" si="9"/>
        <v>y</v>
      </c>
      <c r="N16" s="21" t="str">
        <f t="shared" si="10"/>
        <v>ㄗ</v>
      </c>
      <c r="P16" s="2">
        <v>14</v>
      </c>
      <c r="Q16" s="22" t="str">
        <f t="shared" si="11"/>
        <v>h</v>
      </c>
      <c r="R16" s="22" t="str">
        <f t="shared" si="12"/>
        <v>ㄏ</v>
      </c>
      <c r="T16" s="2">
        <v>14</v>
      </c>
      <c r="U16" s="409" t="str">
        <f t="shared" si="0"/>
        <v>y</v>
      </c>
      <c r="V16" s="411" t="str">
        <f t="shared" si="1"/>
        <v>z</v>
      </c>
      <c r="W16" s="410" t="str" cm="1">
        <f t="array" ref="W16" xml:space="preserve"> INDEX(注音編碼對照表!$E$3:$E$58, MATCH(TRUE, EXACT(表格1_33411[[#This Row],[注音編碼]], 注音編碼對照表!$D$3:$D$54), 0))</f>
        <v>ㄗ</v>
      </c>
      <c r="X16" s="412" t="str" cm="1">
        <f t="array" ref="X16" xml:space="preserve"> INDEX(注音編碼對照表!$G$3:$G$58, MATCH(TRUE, EXACT(表格1_33411[[#This Row],[注音編碼]], 注音編碼對照表!$D$3:$D$54), 0))</f>
        <v>z</v>
      </c>
      <c r="Y16" s="24"/>
      <c r="Z16" s="413">
        <f t="shared" si="13"/>
        <v>14</v>
      </c>
      <c r="AA16" s="380" t="str">
        <f t="shared" si="2"/>
        <v>y</v>
      </c>
      <c r="AB16" s="383" t="str">
        <f t="shared" si="3"/>
        <v>z</v>
      </c>
      <c r="AC16" s="381" t="str">
        <f t="shared" si="4"/>
        <v>ㄗ</v>
      </c>
      <c r="AD16" s="432" t="str">
        <f t="shared" si="5"/>
        <v>z</v>
      </c>
      <c r="AE16" s="2"/>
      <c r="AF16" s="421"/>
      <c r="AG16" s="2"/>
      <c r="AI16" s="54"/>
      <c r="AV16" s="11"/>
      <c r="AX16" s="2"/>
      <c r="AY16" s="443"/>
      <c r="BB16" s="2"/>
    </row>
    <row r="17" spans="2:54" ht="32.25">
      <c r="H17" s="2">
        <f t="shared" si="6"/>
        <v>15</v>
      </c>
      <c r="I17" s="136" t="str">
        <f t="shared" si="7"/>
        <v>c</v>
      </c>
      <c r="J17" s="136" t="str">
        <f t="shared" si="8"/>
        <v>h</v>
      </c>
      <c r="L17" s="2">
        <v>15</v>
      </c>
      <c r="M17" s="21" t="str">
        <f t="shared" si="9"/>
        <v>h</v>
      </c>
      <c r="N17" s="21" t="str">
        <f t="shared" si="10"/>
        <v>ㄘ</v>
      </c>
      <c r="P17" s="2">
        <v>15</v>
      </c>
      <c r="Q17" s="22" t="str">
        <f t="shared" si="11"/>
        <v>i</v>
      </c>
      <c r="R17" s="22" t="str">
        <f t="shared" si="12"/>
        <v>ㄧ</v>
      </c>
      <c r="T17" s="2">
        <v>15</v>
      </c>
      <c r="U17" s="409" t="str">
        <f t="shared" si="0"/>
        <v>h</v>
      </c>
      <c r="V17" s="411" t="str">
        <f t="shared" si="1"/>
        <v>c</v>
      </c>
      <c r="W17" s="410" t="str" cm="1">
        <f t="array" ref="W17" xml:space="preserve"> INDEX(注音編碼對照表!$E$3:$E$58, MATCH(TRUE, EXACT(表格1_33411[[#This Row],[注音編碼]], 注音編碼對照表!$D$3:$D$54), 0))</f>
        <v>ㄘ</v>
      </c>
      <c r="X17" s="412" t="str" cm="1">
        <f t="array" ref="X17" xml:space="preserve"> INDEX(注音編碼對照表!$G$3:$G$58, MATCH(TRUE, EXACT(表格1_33411[[#This Row],[注音編碼]], 注音編碼對照表!$D$3:$D$54), 0))</f>
        <v>c</v>
      </c>
      <c r="Y17" s="24"/>
      <c r="Z17" s="413">
        <f t="shared" si="13"/>
        <v>15</v>
      </c>
      <c r="AA17" s="380" t="str">
        <f t="shared" si="2"/>
        <v>h</v>
      </c>
      <c r="AB17" s="383" t="str">
        <f t="shared" si="3"/>
        <v>c</v>
      </c>
      <c r="AC17" s="381" t="str">
        <f t="shared" si="4"/>
        <v>ㄘ</v>
      </c>
      <c r="AD17" s="432" t="str">
        <f t="shared" si="5"/>
        <v>c</v>
      </c>
      <c r="AE17" s="2"/>
      <c r="AF17" s="422" t="s">
        <v>45</v>
      </c>
      <c r="AG17" s="2"/>
      <c r="AH17" s="459" t="str">
        <f xml:space="preserve"> """xlit|" &amp; AH18 &amp; "|" &amp; AH19 &amp; "|"""</f>
        <v>"xlit|pbPmtTnlkgKhjzcsJZCSwiuMaOoeyxB@NGHWRDVIUAQEYX123570|ㄅㆠㄆㄇㄉㄊㄋㄌㄍㆣㄎㄏㆡㄗㄘㄙㆢㄐㄑㄒㄫㄧㄨㆬㄚㆦㄜㆤㄞㄠｎㄢㄣㄤㆲㆭㆨㆱㆰㆪㆫㆩㆧㆥㆮㆯˉˋ˪ˊ˫˙|"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0"/>
      <c r="AX17" s="2"/>
      <c r="AY17" s="443"/>
      <c r="BB17" s="2"/>
    </row>
    <row r="18" spans="2:54" ht="32.25">
      <c r="H18" s="2">
        <f t="shared" si="6"/>
        <v>16</v>
      </c>
      <c r="I18" s="136" t="str">
        <f t="shared" si="7"/>
        <v>s</v>
      </c>
      <c r="J18" s="136" t="str">
        <f t="shared" si="8"/>
        <v>n</v>
      </c>
      <c r="L18" s="2">
        <v>16</v>
      </c>
      <c r="M18" s="21" t="str">
        <f t="shared" si="9"/>
        <v>n</v>
      </c>
      <c r="N18" s="21" t="str">
        <f t="shared" si="10"/>
        <v>ㄙ</v>
      </c>
      <c r="P18" s="2">
        <v>16</v>
      </c>
      <c r="Q18" s="22" t="str">
        <f t="shared" si="11"/>
        <v>u</v>
      </c>
      <c r="R18" s="22" t="str">
        <f t="shared" si="12"/>
        <v>ㄨ</v>
      </c>
      <c r="T18" s="2">
        <v>16</v>
      </c>
      <c r="U18" s="409" t="str">
        <f t="shared" si="0"/>
        <v>n</v>
      </c>
      <c r="V18" s="411" t="str">
        <f t="shared" si="1"/>
        <v>s</v>
      </c>
      <c r="W18" s="410" t="str" cm="1">
        <f t="array" ref="W18" xml:space="preserve"> INDEX(注音編碼對照表!$E$3:$E$58, MATCH(TRUE, EXACT(表格1_33411[[#This Row],[注音編碼]], 注音編碼對照表!$D$3:$D$54), 0))</f>
        <v>ㄙ</v>
      </c>
      <c r="X18" s="412" t="str" cm="1">
        <f t="array" ref="X18" xml:space="preserve"> INDEX(注音編碼對照表!$G$3:$G$58, MATCH(TRUE, EXACT(表格1_33411[[#This Row],[注音編碼]], 注音編碼對照表!$D$3:$D$54), 0))</f>
        <v>s</v>
      </c>
      <c r="Y18" s="24"/>
      <c r="Z18" s="413">
        <f t="shared" si="13"/>
        <v>16</v>
      </c>
      <c r="AA18" s="380" t="str">
        <f t="shared" si="2"/>
        <v>n</v>
      </c>
      <c r="AB18" s="383" t="str">
        <f t="shared" si="3"/>
        <v>s</v>
      </c>
      <c r="AC18" s="381" t="str">
        <f t="shared" si="4"/>
        <v>ㄙ</v>
      </c>
      <c r="AD18" s="432" t="str">
        <f t="shared" si="5"/>
        <v>s</v>
      </c>
      <c r="AE18" s="2"/>
      <c r="AF18" s="423" t="s">
        <v>585</v>
      </c>
      <c r="AG18" s="1">
        <f xml:space="preserve"> LEN(AH18)</f>
        <v>52</v>
      </c>
      <c r="AH18" s="37" t="str">
        <f xml:space="preserve"> _xlfn.CONCAT(AB$3:AB$54)</f>
        <v>pbPmtTnlkgKhjzcsJZCSwiuMaOoeyxB@NGHWRDVIUAQEYX123570</v>
      </c>
      <c r="AU18" s="38" t="s">
        <v>25</v>
      </c>
      <c r="AV18" s="462" t="str">
        <f>AV9</f>
        <v>7</v>
      </c>
      <c r="AW18" s="40">
        <f xml:space="preserve"> FIND(AV18, AH18)</f>
        <v>51</v>
      </c>
      <c r="AX18" s="2"/>
      <c r="AY18" s="443"/>
      <c r="BB18" s="2"/>
    </row>
    <row r="19" spans="2:54" ht="32.25">
      <c r="H19" s="2">
        <f t="shared" si="6"/>
        <v>17</v>
      </c>
      <c r="I19" s="136" t="str">
        <f t="shared" si="7"/>
        <v>J</v>
      </c>
      <c r="J19" s="414" t="str">
        <f t="shared" si="8"/>
        <v>B</v>
      </c>
      <c r="L19" s="2">
        <v>17</v>
      </c>
      <c r="M19" s="415" t="str">
        <f t="shared" si="9"/>
        <v>B</v>
      </c>
      <c r="N19" s="21" t="str">
        <f t="shared" si="10"/>
        <v>ㆢ</v>
      </c>
      <c r="P19" s="2">
        <v>17</v>
      </c>
      <c r="Q19" s="22" t="str">
        <f t="shared" si="11"/>
        <v>a</v>
      </c>
      <c r="R19" s="22" t="str">
        <f t="shared" si="12"/>
        <v>ㄚ</v>
      </c>
      <c r="T19" s="2">
        <v>17</v>
      </c>
      <c r="U19" s="409" t="str">
        <f t="shared" si="0"/>
        <v>B</v>
      </c>
      <c r="V19" s="411" t="str">
        <f t="shared" si="1"/>
        <v>J</v>
      </c>
      <c r="W19" s="410" t="str" cm="1">
        <f t="array" ref="W19" xml:space="preserve"> INDEX(注音編碼對照表!$E$3:$E$58, MATCH(TRUE, EXACT(表格1_33411[[#This Row],[注音編碼]], 注音編碼對照表!$D$3:$D$54), 0))</f>
        <v>ㆢ</v>
      </c>
      <c r="X19" s="412" t="str" cm="1">
        <f t="array" ref="X19" xml:space="preserve"> INDEX(注音編碼對照表!$G$3:$G$58, MATCH(TRUE, EXACT(表格1_33411[[#This Row],[注音編碼]], 注音編碼對照表!$D$3:$D$54), 0))</f>
        <v>ji-</v>
      </c>
      <c r="Y19" s="24"/>
      <c r="Z19" s="413">
        <f t="shared" si="13"/>
        <v>17</v>
      </c>
      <c r="AA19" s="71" t="str">
        <f t="shared" si="2"/>
        <v>B</v>
      </c>
      <c r="AB19" s="379" t="str">
        <f t="shared" si="3"/>
        <v>J</v>
      </c>
      <c r="AC19" s="32" t="str">
        <f t="shared" si="4"/>
        <v>ㆢ</v>
      </c>
      <c r="AD19" s="430" t="str">
        <f t="shared" si="5"/>
        <v>ji-</v>
      </c>
      <c r="AE19" s="2"/>
      <c r="AF19" s="426" t="s">
        <v>641</v>
      </c>
      <c r="AG19" s="1">
        <f xml:space="preserve"> LEN(AH19)</f>
        <v>52</v>
      </c>
      <c r="AH19" s="427" t="str">
        <f xml:space="preserve"> _xlfn.CONCAT(AC3:AC54)</f>
        <v>ㄅㆠㄆㄇㄉㄊㄋㄌㄍㆣㄎㄏㆡㄗㄘㄙㆢㄐㄑㄒㄫㄧㄨㆬㄚㆦㄜㆤㄞㄠｎㄢㄣㄤㆲㆭㆨㆱㆰㆪㆫㆩㆧㆥㆮㆯˉˋ˪ˊ˫˙</v>
      </c>
      <c r="AV19" s="49" t="str">
        <f xml:space="preserve"> MID(AH19, AW18, 1)</f>
        <v>˫</v>
      </c>
      <c r="AW19" s="40"/>
      <c r="AX19" s="2"/>
      <c r="AY19" s="443"/>
      <c r="BB19" s="2"/>
    </row>
    <row r="20" spans="2:54" ht="32.25">
      <c r="B20" s="1" t="s">
        <v>60</v>
      </c>
      <c r="H20" s="2">
        <f t="shared" si="6"/>
        <v>18</v>
      </c>
      <c r="I20" s="136" t="str">
        <f t="shared" si="7"/>
        <v>Z</v>
      </c>
      <c r="J20" s="414" t="str">
        <f t="shared" si="8"/>
        <v>Y</v>
      </c>
      <c r="L20" s="2">
        <v>18</v>
      </c>
      <c r="M20" s="415" t="str">
        <f t="shared" ref="M20:M22" si="14">J20</f>
        <v>Y</v>
      </c>
      <c r="N20" s="21" t="str">
        <f t="shared" si="10"/>
        <v>ㄐ</v>
      </c>
      <c r="P20" s="2">
        <v>18</v>
      </c>
      <c r="Q20" s="22" t="str">
        <f t="shared" si="11"/>
        <v>o</v>
      </c>
      <c r="R20" s="22" t="str">
        <f t="shared" si="12"/>
        <v>ㆦ</v>
      </c>
      <c r="T20" s="2">
        <v>18</v>
      </c>
      <c r="U20" s="409" t="str">
        <f t="shared" si="0"/>
        <v>Y</v>
      </c>
      <c r="V20" s="411" t="str">
        <f t="shared" si="1"/>
        <v>Z</v>
      </c>
      <c r="W20" s="410" t="str" cm="1">
        <f t="array" ref="W20" xml:space="preserve"> INDEX(注音編碼對照表!$E$3:$E$58, MATCH(TRUE, EXACT(表格1_33411[[#This Row],[注音編碼]], 注音編碼對照表!$D$3:$D$54), 0))</f>
        <v>ㄐ</v>
      </c>
      <c r="X20" s="412" t="str" cm="1">
        <f t="array" ref="X20" xml:space="preserve"> INDEX(注音編碼對照表!$G$3:$G$58, MATCH(TRUE, EXACT(表格1_33411[[#This Row],[注音編碼]], 注音編碼對照表!$D$3:$D$54), 0))</f>
        <v>zi-</v>
      </c>
      <c r="Y20" s="24"/>
      <c r="Z20" s="413">
        <f t="shared" si="13"/>
        <v>18</v>
      </c>
      <c r="AA20" s="384" t="str">
        <f t="shared" si="2"/>
        <v>Y</v>
      </c>
      <c r="AB20" s="387" t="str">
        <f t="shared" si="3"/>
        <v>Z</v>
      </c>
      <c r="AC20" s="385" t="str">
        <f t="shared" si="4"/>
        <v>ㄐ</v>
      </c>
      <c r="AD20" s="431" t="str">
        <f t="shared" si="5"/>
        <v>zi-</v>
      </c>
      <c r="AE20" s="2"/>
      <c r="AF20" s="421"/>
      <c r="AG20" s="2"/>
      <c r="AV20" s="11"/>
      <c r="AX20" s="2"/>
      <c r="AY20" s="443"/>
      <c r="BB20" s="2"/>
    </row>
    <row r="21" spans="2:54" ht="32.25">
      <c r="B21" s="12" t="s">
        <v>63</v>
      </c>
      <c r="H21" s="2">
        <f t="shared" si="6"/>
        <v>19</v>
      </c>
      <c r="I21" s="136" t="str">
        <f t="shared" si="7"/>
        <v>C</v>
      </c>
      <c r="J21" s="414" t="str">
        <f t="shared" si="8"/>
        <v>H</v>
      </c>
      <c r="L21" s="2">
        <v>19</v>
      </c>
      <c r="M21" s="415" t="str">
        <f t="shared" si="14"/>
        <v>H</v>
      </c>
      <c r="N21" s="21" t="str">
        <f t="shared" si="10"/>
        <v>ㄑ</v>
      </c>
      <c r="P21" s="2">
        <v>19</v>
      </c>
      <c r="Q21" s="22" t="str">
        <f t="shared" si="11"/>
        <v>ø</v>
      </c>
      <c r="R21" s="22" t="str">
        <f t="shared" si="12"/>
        <v>ㄜ</v>
      </c>
      <c r="T21" s="2">
        <v>19</v>
      </c>
      <c r="U21" s="409" t="str">
        <f t="shared" si="0"/>
        <v>H</v>
      </c>
      <c r="V21" s="411" t="str">
        <f t="shared" si="1"/>
        <v>C</v>
      </c>
      <c r="W21" s="410" t="str" cm="1">
        <f t="array" ref="W21" xml:space="preserve"> INDEX(注音編碼對照表!$E$3:$E$58, MATCH(TRUE, EXACT(表格1_33411[[#This Row],[注音編碼]], 注音編碼對照表!$D$3:$D$54), 0))</f>
        <v>ㄑ</v>
      </c>
      <c r="X21" s="412" t="str" cm="1">
        <f t="array" ref="X21" xml:space="preserve"> INDEX(注音編碼對照表!$G$3:$G$58, MATCH(TRUE, EXACT(表格1_33411[[#This Row],[注音編碼]], 注音編碼對照表!$D$3:$D$54), 0))</f>
        <v>ci-</v>
      </c>
      <c r="Y21" s="24"/>
      <c r="Z21" s="413">
        <f t="shared" si="13"/>
        <v>19</v>
      </c>
      <c r="AA21" s="384" t="str">
        <f t="shared" si="2"/>
        <v>H</v>
      </c>
      <c r="AB21" s="388" t="str">
        <f t="shared" si="3"/>
        <v>C</v>
      </c>
      <c r="AC21" s="385" t="str">
        <f t="shared" si="4"/>
        <v>ㄑ</v>
      </c>
      <c r="AD21" s="431" t="str">
        <f t="shared" si="5"/>
        <v>ci-</v>
      </c>
      <c r="AE21" s="2"/>
      <c r="AF21" s="421"/>
      <c r="AG21" s="2"/>
      <c r="AV21" s="11"/>
      <c r="AX21" s="2"/>
      <c r="AY21" s="443"/>
      <c r="BB21" s="2"/>
    </row>
    <row r="22" spans="2:54" ht="32.25">
      <c r="B22" s="2">
        <f xml:space="preserve"> SEARCH("|",B21,1)</f>
        <v>7</v>
      </c>
      <c r="H22" s="2">
        <f t="shared" si="6"/>
        <v>20</v>
      </c>
      <c r="I22" s="136" t="str">
        <f t="shared" si="7"/>
        <v>S</v>
      </c>
      <c r="J22" s="414" t="str">
        <f t="shared" si="8"/>
        <v>N</v>
      </c>
      <c r="L22" s="2">
        <v>20</v>
      </c>
      <c r="M22" s="415" t="str">
        <f t="shared" si="14"/>
        <v>N</v>
      </c>
      <c r="N22" s="21" t="str">
        <f t="shared" si="10"/>
        <v>ㄒ</v>
      </c>
      <c r="P22" s="2">
        <v>20</v>
      </c>
      <c r="Q22" s="22" t="str">
        <f t="shared" si="11"/>
        <v>e</v>
      </c>
      <c r="R22" s="22" t="str">
        <f t="shared" si="12"/>
        <v>ㆤ</v>
      </c>
      <c r="T22" s="2">
        <v>20</v>
      </c>
      <c r="U22" s="409" t="str">
        <f t="shared" si="0"/>
        <v>N</v>
      </c>
      <c r="V22" s="411" t="str">
        <f t="shared" si="1"/>
        <v>S</v>
      </c>
      <c r="W22" s="410" t="str" cm="1">
        <f t="array" ref="W22" xml:space="preserve"> INDEX(注音編碼對照表!$E$3:$E$58, MATCH(TRUE, EXACT(表格1_33411[[#This Row],[注音編碼]], 注音編碼對照表!$D$3:$D$54), 0))</f>
        <v>ㄒ</v>
      </c>
      <c r="X22" s="412" t="str" cm="1">
        <f t="array" ref="X22" xml:space="preserve"> INDEX(注音編碼對照表!$G$3:$G$58, MATCH(TRUE, EXACT(表格1_33411[[#This Row],[注音編碼]], 注音編碼對照表!$D$3:$D$54), 0))</f>
        <v>si-</v>
      </c>
      <c r="Y22" s="24"/>
      <c r="Z22" s="413">
        <f t="shared" si="13"/>
        <v>20</v>
      </c>
      <c r="AA22" s="384" t="str">
        <f t="shared" si="2"/>
        <v>N</v>
      </c>
      <c r="AB22" s="388" t="str">
        <f t="shared" si="3"/>
        <v>S</v>
      </c>
      <c r="AC22" s="385" t="str">
        <f t="shared" si="4"/>
        <v>ㄒ</v>
      </c>
      <c r="AD22" s="431" t="str">
        <f t="shared" si="5"/>
        <v>si-</v>
      </c>
      <c r="AE22" s="2"/>
      <c r="AF22" s="421"/>
      <c r="AG22" s="2"/>
      <c r="AV22" s="11"/>
      <c r="AX22" s="2"/>
      <c r="AY22" s="443"/>
      <c r="BB22" s="2"/>
    </row>
    <row r="23" spans="2:54" ht="32.25">
      <c r="B23" s="2">
        <f xml:space="preserve"> SEARCH("|",B21,B22+1)</f>
        <v>34</v>
      </c>
      <c r="H23" s="2">
        <f t="shared" si="6"/>
        <v>21</v>
      </c>
      <c r="I23" s="136" t="str">
        <f t="shared" si="7"/>
        <v>w</v>
      </c>
      <c r="J23" s="136" t="str">
        <f t="shared" si="8"/>
        <v>?</v>
      </c>
      <c r="L23" s="2">
        <v>21</v>
      </c>
      <c r="M23" s="21" t="str">
        <f t="shared" ref="M23:M54" si="15" xml:space="preserve"> IFERROR( MID($B$15, $H23, 1), "")</f>
        <v>?</v>
      </c>
      <c r="N23" s="21" t="str">
        <f t="shared" si="10"/>
        <v>ㄫ</v>
      </c>
      <c r="P23" s="2">
        <v>21</v>
      </c>
      <c r="Q23" s="22" t="str">
        <f t="shared" si="11"/>
        <v>I</v>
      </c>
      <c r="R23" s="22" t="str">
        <f t="shared" si="12"/>
        <v>ㄞ</v>
      </c>
      <c r="T23" s="2">
        <v>21</v>
      </c>
      <c r="U23" s="409" t="str">
        <f t="shared" si="0"/>
        <v>?</v>
      </c>
      <c r="V23" s="411" t="str">
        <f t="shared" si="1"/>
        <v>w</v>
      </c>
      <c r="W23" s="410" t="str" cm="1">
        <f t="array" ref="W23" xml:space="preserve"> INDEX(注音編碼對照表!$E$3:$E$58, MATCH(TRUE, EXACT(表格1_33411[[#This Row],[注音編碼]], 注音編碼對照表!$D$3:$D$54), 0))</f>
        <v>ㄫ</v>
      </c>
      <c r="X23" s="412" t="str" cm="1">
        <f t="array" ref="X23" xml:space="preserve"> INDEX(注音編碼對照表!$G$3:$G$58, MATCH(TRUE, EXACT(表格1_33411[[#This Row],[注音編碼]], 注音編碼對照表!$D$3:$D$54), 0))</f>
        <v>ng-</v>
      </c>
      <c r="Y23" s="24"/>
      <c r="Z23" s="413">
        <f t="shared" si="13"/>
        <v>21</v>
      </c>
      <c r="AA23" s="71" t="str">
        <f t="shared" si="2"/>
        <v>?</v>
      </c>
      <c r="AB23" s="379" t="str">
        <f t="shared" si="3"/>
        <v>w</v>
      </c>
      <c r="AC23" s="32" t="str">
        <f t="shared" si="4"/>
        <v>ㄫ</v>
      </c>
      <c r="AD23" s="430" t="str">
        <f t="shared" si="5"/>
        <v>ng-</v>
      </c>
      <c r="AE23" s="2"/>
      <c r="AF23" s="421"/>
      <c r="AG23" s="2"/>
      <c r="AV23" s="11"/>
      <c r="AX23" s="2"/>
      <c r="AY23" s="443"/>
      <c r="BB23" s="2"/>
    </row>
    <row r="24" spans="2:54" ht="32.25">
      <c r="B24" s="2">
        <f xml:space="preserve"> SEARCH("|",B21,B23+1)</f>
        <v>61</v>
      </c>
      <c r="H24" s="2">
        <f t="shared" si="6"/>
        <v>22</v>
      </c>
      <c r="I24" s="136" t="str">
        <f t="shared" si="7"/>
        <v>i</v>
      </c>
      <c r="J24" s="136" t="str">
        <f t="shared" si="8"/>
        <v>u</v>
      </c>
      <c r="L24" s="2">
        <v>22</v>
      </c>
      <c r="M24" s="21" t="str">
        <f t="shared" si="15"/>
        <v>u</v>
      </c>
      <c r="N24" s="21" t="str">
        <f t="shared" si="10"/>
        <v>ㄧ</v>
      </c>
      <c r="P24" s="2">
        <v>22</v>
      </c>
      <c r="Q24" s="22" t="str">
        <f t="shared" si="11"/>
        <v>U</v>
      </c>
      <c r="R24" s="22" t="str">
        <f t="shared" si="12"/>
        <v>ㄠ</v>
      </c>
      <c r="T24" s="2">
        <v>22</v>
      </c>
      <c r="U24" s="409" t="str">
        <f t="shared" si="0"/>
        <v>u</v>
      </c>
      <c r="V24" s="411" t="str">
        <f t="shared" si="1"/>
        <v>i</v>
      </c>
      <c r="W24" s="410" t="str" cm="1">
        <f t="array" ref="W24" xml:space="preserve"> INDEX(注音編碼對照表!$E$3:$E$58, MATCH(TRUE, EXACT(表格1_33411[[#This Row],[注音編碼]], 注音編碼對照表!$D$3:$D$54), 0))</f>
        <v>ㄧ</v>
      </c>
      <c r="X24" s="412" t="str" cm="1">
        <f t="array" ref="X24" xml:space="preserve"> INDEX(注音編碼對照表!$G$3:$G$58, MATCH(TRUE, EXACT(表格1_33411[[#This Row],[注音編碼]], 注音編碼對照表!$D$3:$D$54), 0))</f>
        <v>i</v>
      </c>
      <c r="Y24" s="24"/>
      <c r="Z24" s="98">
        <f t="shared" si="13"/>
        <v>22</v>
      </c>
      <c r="AA24" s="71" t="str">
        <f t="shared" si="2"/>
        <v>u</v>
      </c>
      <c r="AB24" s="379" t="str">
        <f t="shared" si="3"/>
        <v>i</v>
      </c>
      <c r="AC24" s="32" t="str">
        <f t="shared" si="4"/>
        <v>ㄧ</v>
      </c>
      <c r="AD24" s="430" t="str">
        <f t="shared" si="5"/>
        <v>i</v>
      </c>
      <c r="AE24" s="2"/>
      <c r="AF24" s="421"/>
      <c r="AG24" s="2"/>
      <c r="AV24" s="11"/>
      <c r="AX24" s="2"/>
      <c r="AY24" s="443"/>
      <c r="BB24" s="2"/>
    </row>
    <row r="25" spans="2:54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6"/>
        <v>23</v>
      </c>
      <c r="I25" s="136" t="str">
        <f t="shared" si="7"/>
        <v>u</v>
      </c>
      <c r="J25" s="136" t="str">
        <f t="shared" si="8"/>
        <v>j</v>
      </c>
      <c r="L25" s="2">
        <v>23</v>
      </c>
      <c r="M25" s="21" t="str">
        <f t="shared" si="15"/>
        <v>j</v>
      </c>
      <c r="N25" s="21" t="str">
        <f t="shared" si="10"/>
        <v>ㄨ</v>
      </c>
      <c r="P25" s="2">
        <v>23</v>
      </c>
      <c r="Q25" s="22" t="str">
        <f t="shared" si="11"/>
        <v>B</v>
      </c>
      <c r="R25" s="22" t="str">
        <f t="shared" si="12"/>
        <v>ㆬ</v>
      </c>
      <c r="T25" s="2">
        <v>23</v>
      </c>
      <c r="U25" s="409" t="str">
        <f t="shared" si="0"/>
        <v>j</v>
      </c>
      <c r="V25" s="411" t="str">
        <f t="shared" si="1"/>
        <v>u</v>
      </c>
      <c r="W25" s="410" t="str" cm="1">
        <f t="array" ref="W25" xml:space="preserve"> INDEX(注音編碼對照表!$E$3:$E$58, MATCH(TRUE, EXACT(表格1_33411[[#This Row],[注音編碼]], 注音編碼對照表!$D$3:$D$54), 0))</f>
        <v>ㄨ</v>
      </c>
      <c r="X25" s="412" t="str" cm="1">
        <f t="array" ref="X25" xml:space="preserve"> INDEX(注音編碼對照表!$G$3:$G$58, MATCH(TRUE, EXACT(表格1_33411[[#This Row],[注音編碼]], 注音編碼對照表!$D$3:$D$54), 0))</f>
        <v>u</v>
      </c>
      <c r="Y25" s="24"/>
      <c r="Z25" s="98">
        <f t="shared" si="13"/>
        <v>23</v>
      </c>
      <c r="AA25" s="389" t="str">
        <f t="shared" si="2"/>
        <v>j</v>
      </c>
      <c r="AB25" s="390" t="str">
        <f t="shared" si="3"/>
        <v>u</v>
      </c>
      <c r="AC25" s="32" t="str">
        <f t="shared" si="4"/>
        <v>ㄨ</v>
      </c>
      <c r="AD25" s="430" t="str">
        <f t="shared" si="5"/>
        <v>u</v>
      </c>
      <c r="AE25" s="2"/>
      <c r="AF25" s="421"/>
      <c r="AG25" s="2"/>
      <c r="AV25" s="11"/>
      <c r="AX25" s="2"/>
      <c r="AY25" s="443"/>
      <c r="BB25" s="2"/>
    </row>
    <row r="26" spans="2:54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6"/>
        <v>24</v>
      </c>
      <c r="I26" s="136" t="str">
        <f t="shared" si="7"/>
        <v>M</v>
      </c>
      <c r="J26" s="136" t="str">
        <f t="shared" si="8"/>
        <v>m</v>
      </c>
      <c r="L26" s="2">
        <v>24</v>
      </c>
      <c r="M26" s="21" t="str">
        <f t="shared" si="15"/>
        <v>m</v>
      </c>
      <c r="N26" s="21" t="str">
        <f t="shared" si="10"/>
        <v>ㆬ</v>
      </c>
      <c r="P26" s="2">
        <v>24</v>
      </c>
      <c r="Q26" s="22" t="str">
        <f t="shared" si="11"/>
        <v>D</v>
      </c>
      <c r="R26" s="22" t="str">
        <f t="shared" si="12"/>
        <v>ㄣ</v>
      </c>
      <c r="T26" s="2">
        <v>24</v>
      </c>
      <c r="U26" s="409" t="str">
        <f t="shared" si="0"/>
        <v>m</v>
      </c>
      <c r="V26" s="411" t="str">
        <f t="shared" si="1"/>
        <v>M</v>
      </c>
      <c r="W26" s="410" t="str" cm="1">
        <f t="array" ref="W26" xml:space="preserve"> INDEX(注音編碼對照表!$E$3:$E$58, MATCH(TRUE, EXACT(表格1_33411[[#This Row],[注音編碼]], 注音編碼對照表!$D$3:$D$54), 0))</f>
        <v>ㆬ</v>
      </c>
      <c r="X26" s="412" t="str" cm="1">
        <f t="array" ref="X26" xml:space="preserve"> INDEX(注音編碼對照表!$G$3:$G$58, MATCH(TRUE, EXACT(表格1_33411[[#This Row],[注音編碼]], 注音編碼對照表!$D$3:$D$54), 0))</f>
        <v>-m</v>
      </c>
      <c r="Y26" s="24"/>
      <c r="Z26" s="98">
        <f t="shared" si="13"/>
        <v>24</v>
      </c>
      <c r="AA26" s="71" t="str">
        <f t="shared" si="2"/>
        <v>m</v>
      </c>
      <c r="AB26" s="379" t="str">
        <f t="shared" si="3"/>
        <v>M</v>
      </c>
      <c r="AC26" s="32" t="str">
        <f t="shared" si="4"/>
        <v>ㆬ</v>
      </c>
      <c r="AD26" s="430" t="str">
        <f t="shared" si="5"/>
        <v>-m</v>
      </c>
      <c r="AE26" s="2"/>
      <c r="AF26" s="421" t="s">
        <v>67</v>
      </c>
      <c r="AG26" s="2"/>
      <c r="AV26" s="11"/>
      <c r="AX26" s="2"/>
      <c r="AY26" s="443"/>
      <c r="BB26" s="2"/>
    </row>
    <row r="27" spans="2:54" ht="32.25">
      <c r="H27" s="2">
        <f t="shared" si="6"/>
        <v>25</v>
      </c>
      <c r="I27" s="136" t="str">
        <f t="shared" si="7"/>
        <v>a</v>
      </c>
      <c r="J27" s="136" t="str">
        <f t="shared" si="8"/>
        <v>8</v>
      </c>
      <c r="L27" s="2">
        <v>25</v>
      </c>
      <c r="M27" s="21" t="str">
        <f t="shared" si="15"/>
        <v>8</v>
      </c>
      <c r="N27" s="21" t="str">
        <f t="shared" si="10"/>
        <v>ㄚ</v>
      </c>
      <c r="P27" s="2">
        <v>25</v>
      </c>
      <c r="Q27" s="22" t="str">
        <f t="shared" si="11"/>
        <v>G</v>
      </c>
      <c r="R27" s="22" t="str">
        <f t="shared" si="12"/>
        <v>ㆭ</v>
      </c>
      <c r="T27" s="2">
        <v>25</v>
      </c>
      <c r="U27" s="409" t="str">
        <f t="shared" si="0"/>
        <v>8</v>
      </c>
      <c r="V27" s="411" t="str">
        <f t="shared" si="1"/>
        <v>a</v>
      </c>
      <c r="W27" s="410" t="str" cm="1">
        <f t="array" ref="W27" xml:space="preserve"> INDEX(注音編碼對照表!$E$3:$E$58, MATCH(TRUE, EXACT(表格1_33411[[#This Row],[注音編碼]], 注音編碼對照表!$D$3:$D$54), 0))</f>
        <v>ㄚ</v>
      </c>
      <c r="X27" s="412" t="str" cm="1">
        <f t="array" ref="X27" xml:space="preserve"> INDEX(注音編碼對照表!$G$3:$G$58, MATCH(TRUE, EXACT(表格1_33411[[#This Row],[注音編碼]], 注音編碼對照表!$D$3:$D$54), 0))</f>
        <v>a</v>
      </c>
      <c r="Y27" s="24"/>
      <c r="Z27" s="98">
        <f t="shared" si="13"/>
        <v>25</v>
      </c>
      <c r="AA27" s="71" t="str">
        <f t="shared" si="2"/>
        <v>8</v>
      </c>
      <c r="AB27" s="379" t="str">
        <f t="shared" si="3"/>
        <v>a</v>
      </c>
      <c r="AC27" s="32" t="str">
        <f t="shared" si="4"/>
        <v>ㄚ</v>
      </c>
      <c r="AD27" s="430" t="str">
        <f t="shared" si="5"/>
        <v>a</v>
      </c>
      <c r="AE27" s="2"/>
      <c r="AF27" s="421" t="s">
        <v>121</v>
      </c>
      <c r="AG27" s="2"/>
      <c r="AV27" s="11"/>
      <c r="AX27" s="2"/>
      <c r="AY27" s="443"/>
      <c r="BB27" s="2"/>
    </row>
    <row r="28" spans="2:54" ht="32.25">
      <c r="H28" s="2">
        <f t="shared" si="6"/>
        <v>26</v>
      </c>
      <c r="I28" s="136" t="str">
        <f t="shared" si="7"/>
        <v>O</v>
      </c>
      <c r="J28" s="136" t="str">
        <f t="shared" si="8"/>
        <v>i</v>
      </c>
      <c r="L28" s="2">
        <v>26</v>
      </c>
      <c r="M28" s="21" t="str">
        <f t="shared" si="15"/>
        <v>i</v>
      </c>
      <c r="N28" s="21" t="str">
        <f t="shared" si="10"/>
        <v>ㆦ</v>
      </c>
      <c r="P28" s="2">
        <v>26</v>
      </c>
      <c r="Q28" s="22" t="str">
        <f t="shared" si="11"/>
        <v>N</v>
      </c>
      <c r="R28" s="22" t="str">
        <f t="shared" si="12"/>
        <v>ｎ</v>
      </c>
      <c r="T28" s="2">
        <v>26</v>
      </c>
      <c r="U28" s="409" t="str">
        <f t="shared" si="0"/>
        <v>i</v>
      </c>
      <c r="V28" s="411" t="str">
        <f t="shared" si="1"/>
        <v>O</v>
      </c>
      <c r="W28" s="410" t="str" cm="1">
        <f t="array" ref="W28" xml:space="preserve"> INDEX(注音編碼對照表!$E$3:$E$58, MATCH(TRUE, EXACT(表格1_33411[[#This Row],[注音編碼]], 注音編碼對照表!$D$3:$D$54), 0))</f>
        <v>ㆦ</v>
      </c>
      <c r="X28" s="412" t="str" cm="1">
        <f t="array" ref="X28" xml:space="preserve"> INDEX(注音編碼對照表!$G$3:$G$58, MATCH(TRUE, EXACT(表格1_33411[[#This Row],[注音編碼]], 注音編碼對照表!$D$3:$D$54), 0))</f>
        <v>oo</v>
      </c>
      <c r="Y28" s="24"/>
      <c r="Z28" s="98">
        <f t="shared" si="13"/>
        <v>26</v>
      </c>
      <c r="AA28" s="71" t="str">
        <f t="shared" si="2"/>
        <v>i</v>
      </c>
      <c r="AB28" s="379" t="str">
        <f t="shared" si="3"/>
        <v>O</v>
      </c>
      <c r="AC28" s="32" t="str">
        <f t="shared" si="4"/>
        <v>ㆦ</v>
      </c>
      <c r="AD28" s="430" t="str">
        <f t="shared" si="5"/>
        <v>oo</v>
      </c>
      <c r="AE28" s="2"/>
      <c r="AF28" s="421" t="s">
        <v>473</v>
      </c>
      <c r="AG28" s="2"/>
      <c r="AV28" s="11"/>
      <c r="AX28" s="2"/>
      <c r="AY28" s="443"/>
      <c r="BB28" s="2"/>
    </row>
    <row r="29" spans="2:54" ht="32.25">
      <c r="H29" s="2">
        <f t="shared" si="6"/>
        <v>27</v>
      </c>
      <c r="I29" s="136" t="str">
        <f t="shared" si="7"/>
        <v>o</v>
      </c>
      <c r="J29" s="136" t="str">
        <f t="shared" si="8"/>
        <v>k</v>
      </c>
      <c r="L29" s="2">
        <v>27</v>
      </c>
      <c r="M29" s="21" t="str">
        <f t="shared" si="15"/>
        <v>k</v>
      </c>
      <c r="N29" s="21" t="str">
        <f t="shared" si="10"/>
        <v>ㄜ</v>
      </c>
      <c r="P29" s="2">
        <v>27</v>
      </c>
      <c r="Q29" s="22" t="str">
        <f t="shared" si="11"/>
        <v/>
      </c>
      <c r="R29" s="22" t="str">
        <f t="shared" si="12"/>
        <v/>
      </c>
      <c r="T29" s="2">
        <v>27</v>
      </c>
      <c r="U29" s="409" t="str">
        <f t="shared" si="0"/>
        <v>k</v>
      </c>
      <c r="V29" s="411" t="str">
        <f t="shared" si="1"/>
        <v>o</v>
      </c>
      <c r="W29" s="410" t="str" cm="1">
        <f t="array" ref="W29" xml:space="preserve"> INDEX(注音編碼對照表!$E$3:$E$58, MATCH(TRUE, EXACT(表格1_33411[[#This Row],[注音編碼]], 注音編碼對照表!$D$3:$D$54), 0))</f>
        <v>ㄜ</v>
      </c>
      <c r="X29" s="412" t="str" cm="1">
        <f t="array" ref="X29" xml:space="preserve"> INDEX(注音編碼對照表!$G$3:$G$58, MATCH(TRUE, EXACT(表格1_33411[[#This Row],[注音編碼]], 注音編碼對照表!$D$3:$D$54), 0))</f>
        <v>o</v>
      </c>
      <c r="Y29" s="24"/>
      <c r="Z29" s="98">
        <f t="shared" si="13"/>
        <v>27</v>
      </c>
      <c r="AA29" s="71" t="str">
        <f t="shared" si="2"/>
        <v>k</v>
      </c>
      <c r="AB29" s="379" t="str">
        <f t="shared" si="3"/>
        <v>o</v>
      </c>
      <c r="AC29" s="32" t="str">
        <f t="shared" si="4"/>
        <v>ㄜ</v>
      </c>
      <c r="AD29" s="430" t="str">
        <f t="shared" si="5"/>
        <v>o</v>
      </c>
      <c r="AE29" s="2"/>
      <c r="AF29" s="421" t="s">
        <v>61</v>
      </c>
      <c r="AG29" s="2"/>
      <c r="AV29" s="11"/>
      <c r="AX29" s="2"/>
      <c r="AY29" s="443"/>
      <c r="BB29" s="2"/>
    </row>
    <row r="30" spans="2:54" ht="32.25">
      <c r="H30" s="2">
        <f t="shared" si="6"/>
        <v>28</v>
      </c>
      <c r="I30" s="136" t="str">
        <f t="shared" si="7"/>
        <v>e</v>
      </c>
      <c r="J30" s="136" t="str">
        <f t="shared" si="8"/>
        <v>,</v>
      </c>
      <c r="L30" s="2">
        <v>28</v>
      </c>
      <c r="M30" s="21" t="str">
        <f t="shared" si="15"/>
        <v>,</v>
      </c>
      <c r="N30" s="21" t="str">
        <f t="shared" si="10"/>
        <v>ㆤ</v>
      </c>
      <c r="P30" s="2">
        <v>28</v>
      </c>
      <c r="Q30" s="22" t="str">
        <f t="shared" si="11"/>
        <v/>
      </c>
      <c r="R30" s="22" t="str">
        <f t="shared" si="12"/>
        <v/>
      </c>
      <c r="T30" s="2">
        <v>28</v>
      </c>
      <c r="U30" s="409" t="str">
        <f t="shared" si="0"/>
        <v>,</v>
      </c>
      <c r="V30" s="411" t="str">
        <f t="shared" si="1"/>
        <v>e</v>
      </c>
      <c r="W30" s="410" t="str" cm="1">
        <f t="array" ref="W30" xml:space="preserve"> INDEX(注音編碼對照表!$E$3:$E$58, MATCH(TRUE, EXACT(表格1_33411[[#This Row],[注音編碼]], 注音編碼對照表!$D$3:$D$54), 0))</f>
        <v>ㆤ</v>
      </c>
      <c r="X30" s="412" t="str" cm="1">
        <f t="array" ref="X30" xml:space="preserve"> INDEX(注音編碼對照表!$G$3:$G$58, MATCH(TRUE, EXACT(表格1_33411[[#This Row],[注音編碼]], 注音編碼對照表!$D$3:$D$54), 0))</f>
        <v>e</v>
      </c>
      <c r="Y30" s="24"/>
      <c r="Z30" s="98">
        <f t="shared" si="13"/>
        <v>28</v>
      </c>
      <c r="AA30" s="434" t="str">
        <f t="shared" si="2"/>
        <v>,</v>
      </c>
      <c r="AB30" s="436" t="str">
        <f t="shared" si="3"/>
        <v>e</v>
      </c>
      <c r="AC30" s="435" t="str">
        <f t="shared" si="4"/>
        <v>ㆤ</v>
      </c>
      <c r="AD30" s="437" t="str">
        <f t="shared" si="5"/>
        <v>e</v>
      </c>
      <c r="AE30" s="2"/>
      <c r="AF30" s="421" t="s">
        <v>119</v>
      </c>
      <c r="AG30" s="2"/>
      <c r="AV30" s="11"/>
      <c r="AX30" s="2"/>
      <c r="AY30" s="443"/>
      <c r="BB30" s="2"/>
    </row>
    <row r="31" spans="2:54" ht="32.25">
      <c r="H31" s="2">
        <f t="shared" si="6"/>
        <v>29</v>
      </c>
      <c r="I31" s="136" t="str">
        <f t="shared" si="7"/>
        <v>y</v>
      </c>
      <c r="J31" s="136" t="str">
        <f t="shared" si="8"/>
        <v>9</v>
      </c>
      <c r="L31" s="2">
        <v>29</v>
      </c>
      <c r="M31" s="21" t="str">
        <f t="shared" si="15"/>
        <v>9</v>
      </c>
      <c r="N31" s="21" t="str">
        <f t="shared" si="10"/>
        <v>ㄞ</v>
      </c>
      <c r="P31" s="2">
        <v>29</v>
      </c>
      <c r="Q31" s="22" t="str">
        <f t="shared" si="11"/>
        <v/>
      </c>
      <c r="R31" s="22" t="str">
        <f t="shared" si="12"/>
        <v/>
      </c>
      <c r="T31" s="2">
        <v>29</v>
      </c>
      <c r="U31" s="409" t="str">
        <f t="shared" si="0"/>
        <v>9</v>
      </c>
      <c r="V31" s="411" t="str">
        <f t="shared" si="1"/>
        <v>y</v>
      </c>
      <c r="W31" s="410" t="str" cm="1">
        <f t="array" ref="W31" xml:space="preserve"> INDEX(注音編碼對照表!$E$3:$E$58, MATCH(TRUE, EXACT(表格1_33411[[#This Row],[注音編碼]], 注音編碼對照表!$D$3:$D$54), 0))</f>
        <v>ㄞ</v>
      </c>
      <c r="X31" s="412" t="str" cm="1">
        <f t="array" ref="X31" xml:space="preserve"> INDEX(注音編碼對照表!$G$3:$G$58, MATCH(TRUE, EXACT(表格1_33411[[#This Row],[注音編碼]], 注音編碼對照表!$D$3:$D$54), 0))</f>
        <v>ai</v>
      </c>
      <c r="Y31" s="24"/>
      <c r="Z31" s="98">
        <f t="shared" si="13"/>
        <v>29</v>
      </c>
      <c r="AA31" s="434" t="str">
        <f t="shared" si="2"/>
        <v>9</v>
      </c>
      <c r="AB31" s="436" t="str">
        <f t="shared" si="3"/>
        <v>y</v>
      </c>
      <c r="AC31" s="435" t="str">
        <f t="shared" si="4"/>
        <v>ㄞ</v>
      </c>
      <c r="AD31" s="437" t="str">
        <f t="shared" si="5"/>
        <v>ai</v>
      </c>
      <c r="AE31" s="2"/>
      <c r="AF31" s="421" t="s">
        <v>241</v>
      </c>
      <c r="AG31" s="2"/>
      <c r="AV31" s="11"/>
      <c r="AX31" s="2"/>
      <c r="AY31" s="443"/>
      <c r="BB31" s="2"/>
    </row>
    <row r="32" spans="2:54" ht="32.25">
      <c r="H32" s="2">
        <f t="shared" si="6"/>
        <v>30</v>
      </c>
      <c r="I32" s="136" t="str">
        <f t="shared" si="7"/>
        <v>x</v>
      </c>
      <c r="J32" s="136" t="str">
        <f t="shared" si="8"/>
        <v>l</v>
      </c>
      <c r="L32" s="2">
        <v>30</v>
      </c>
      <c r="M32" s="21" t="str">
        <f t="shared" si="15"/>
        <v>l</v>
      </c>
      <c r="N32" s="21" t="str">
        <f t="shared" si="10"/>
        <v>ㄠ</v>
      </c>
      <c r="P32" s="2">
        <v>30</v>
      </c>
      <c r="Q32" s="22" t="str">
        <f t="shared" si="11"/>
        <v/>
      </c>
      <c r="R32" s="22" t="str">
        <f t="shared" si="12"/>
        <v/>
      </c>
      <c r="T32" s="2">
        <v>30</v>
      </c>
      <c r="U32" s="409" t="str">
        <f t="shared" si="0"/>
        <v>l</v>
      </c>
      <c r="V32" s="411" t="str">
        <f t="shared" si="1"/>
        <v>x</v>
      </c>
      <c r="W32" s="410" t="str" cm="1">
        <f t="array" ref="W32" xml:space="preserve"> INDEX(注音編碼對照表!$E$3:$E$58, MATCH(TRUE, EXACT(表格1_33411[[#This Row],[注音編碼]], 注音編碼對照表!$D$3:$D$54), 0))</f>
        <v>ㄠ</v>
      </c>
      <c r="X32" s="412" t="str" cm="1">
        <f t="array" ref="X32" xml:space="preserve"> INDEX(注音編碼對照表!$G$3:$G$58, MATCH(TRUE, EXACT(表格1_33411[[#This Row],[注音編碼]], 注音編碼對照表!$D$3:$D$54), 0))</f>
        <v>au</v>
      </c>
      <c r="Y32" s="24"/>
      <c r="Z32" s="98">
        <f t="shared" si="13"/>
        <v>30</v>
      </c>
      <c r="AA32" s="71" t="str">
        <f t="shared" si="2"/>
        <v>l</v>
      </c>
      <c r="AB32" s="379" t="str">
        <f t="shared" si="3"/>
        <v>x</v>
      </c>
      <c r="AC32" s="32" t="str">
        <f t="shared" si="4"/>
        <v>ㄠ</v>
      </c>
      <c r="AD32" s="430" t="str">
        <f t="shared" si="5"/>
        <v>au</v>
      </c>
      <c r="AE32" s="2"/>
      <c r="AF32" s="421" t="s">
        <v>117</v>
      </c>
      <c r="AG32" s="2"/>
      <c r="AV32" s="11"/>
      <c r="AX32" s="2"/>
      <c r="AY32" s="443"/>
      <c r="BB32" s="2"/>
    </row>
    <row r="33" spans="2:54" ht="32.25">
      <c r="H33" s="2">
        <f t="shared" si="6"/>
        <v>31</v>
      </c>
      <c r="I33" s="136" t="str">
        <f t="shared" si="7"/>
        <v>B</v>
      </c>
      <c r="J33" s="136" t="str">
        <f t="shared" si="8"/>
        <v>.</v>
      </c>
      <c r="L33" s="2">
        <v>31</v>
      </c>
      <c r="M33" s="21" t="str">
        <f t="shared" si="15"/>
        <v>.</v>
      </c>
      <c r="N33" s="21" t="str">
        <f t="shared" si="10"/>
        <v>ｎ</v>
      </c>
      <c r="P33" s="2">
        <v>31</v>
      </c>
      <c r="Q33" s="22" t="str">
        <f t="shared" si="11"/>
        <v/>
      </c>
      <c r="R33" s="22" t="str">
        <f t="shared" si="12"/>
        <v/>
      </c>
      <c r="T33" s="2">
        <v>31</v>
      </c>
      <c r="U33" s="409" t="str">
        <f t="shared" si="0"/>
        <v>.</v>
      </c>
      <c r="V33" s="411" t="str">
        <f t="shared" si="1"/>
        <v>B</v>
      </c>
      <c r="W33" s="410" t="str" cm="1">
        <f t="array" ref="W33" xml:space="preserve"> INDEX(注音編碼對照表!$E$3:$E$58, MATCH(TRUE, EXACT(表格1_33411[[#This Row],[注音編碼]], 注音編碼對照表!$D$3:$D$54), 0))</f>
        <v>ｎ</v>
      </c>
      <c r="X33" s="412" t="str" cm="1">
        <f t="array" ref="X33" xml:space="preserve"> INDEX(注音編碼對照表!$G$3:$G$58, MATCH(TRUE, EXACT(表格1_33411[[#This Row],[注音編碼]], 注音編碼對照表!$D$3:$D$54), 0))</f>
        <v>-nn</v>
      </c>
      <c r="Y33" s="24"/>
      <c r="Z33" s="98">
        <f t="shared" si="13"/>
        <v>31</v>
      </c>
      <c r="AA33" s="71" t="str">
        <f t="shared" si="2"/>
        <v>.</v>
      </c>
      <c r="AB33" s="379" t="str">
        <f t="shared" si="3"/>
        <v>B</v>
      </c>
      <c r="AC33" s="32" t="str">
        <f t="shared" si="4"/>
        <v>ｎ</v>
      </c>
      <c r="AD33" s="430" t="str">
        <f t="shared" si="5"/>
        <v>-nn</v>
      </c>
      <c r="AE33" s="2"/>
      <c r="AF33" s="421" t="s">
        <v>72</v>
      </c>
      <c r="AG33" s="2"/>
      <c r="AV33" s="11"/>
      <c r="AX33" s="2"/>
      <c r="AY33" s="443"/>
      <c r="BB33" s="2"/>
    </row>
    <row r="34" spans="2:54" ht="32.25">
      <c r="H34" s="2">
        <f t="shared" si="6"/>
        <v>32</v>
      </c>
      <c r="I34" s="136" t="str">
        <f t="shared" si="7"/>
        <v>@</v>
      </c>
      <c r="J34" s="136" t="str">
        <f t="shared" si="8"/>
        <v>0</v>
      </c>
      <c r="L34" s="2">
        <v>32</v>
      </c>
      <c r="M34" s="21" t="str">
        <f t="shared" si="15"/>
        <v>0</v>
      </c>
      <c r="N34" s="21" t="str">
        <f t="shared" si="10"/>
        <v>ㄢ</v>
      </c>
      <c r="P34" s="2">
        <v>32</v>
      </c>
      <c r="Q34" s="22" t="str">
        <f t="shared" si="11"/>
        <v/>
      </c>
      <c r="R34" s="22" t="str">
        <f t="shared" si="12"/>
        <v/>
      </c>
      <c r="T34" s="2">
        <v>32</v>
      </c>
      <c r="U34" s="409" t="str">
        <f t="shared" si="0"/>
        <v>0</v>
      </c>
      <c r="V34" s="411" t="str">
        <f t="shared" si="1"/>
        <v>@</v>
      </c>
      <c r="W34" s="410" t="str" cm="1">
        <f t="array" ref="W34" xml:space="preserve"> INDEX(注音編碼對照表!$E$3:$E$58, MATCH(TRUE, EXACT(表格1_33411[[#This Row],[注音編碼]], 注音編碼對照表!$D$3:$D$54), 0))</f>
        <v>ㄢ</v>
      </c>
      <c r="X34" s="412" t="str" cm="1">
        <f t="array" ref="X34" xml:space="preserve"> INDEX(注音編碼對照表!$G$3:$G$58, MATCH(TRUE, EXACT(表格1_33411[[#This Row],[注音編碼]], 注音編碼對照表!$D$3:$D$54), 0))</f>
        <v>an</v>
      </c>
      <c r="Y34" s="24"/>
      <c r="Z34" s="98">
        <f t="shared" si="13"/>
        <v>32</v>
      </c>
      <c r="AA34" s="71" t="str">
        <f t="shared" si="2"/>
        <v>0</v>
      </c>
      <c r="AB34" s="379" t="str">
        <f t="shared" si="3"/>
        <v>@</v>
      </c>
      <c r="AC34" s="32" t="str">
        <f t="shared" si="4"/>
        <v>ㄢ</v>
      </c>
      <c r="AD34" s="430" t="str">
        <f t="shared" si="5"/>
        <v>an</v>
      </c>
      <c r="AE34" s="2"/>
      <c r="AF34" s="421" t="s">
        <v>123</v>
      </c>
      <c r="AG34" s="2"/>
      <c r="AV34" s="11"/>
      <c r="AX34" s="2"/>
      <c r="AY34" s="443"/>
      <c r="BB34" s="2"/>
    </row>
    <row r="35" spans="2:54" ht="32.25">
      <c r="H35" s="2">
        <f t="shared" si="6"/>
        <v>33</v>
      </c>
      <c r="I35" s="136" t="str">
        <f t="shared" si="7"/>
        <v>N</v>
      </c>
      <c r="J35" s="136" t="str">
        <f t="shared" si="8"/>
        <v>p</v>
      </c>
      <c r="L35" s="2">
        <v>33</v>
      </c>
      <c r="M35" s="21" t="str">
        <f t="shared" si="15"/>
        <v>p</v>
      </c>
      <c r="N35" s="21" t="str">
        <f t="shared" si="10"/>
        <v>ㄣ</v>
      </c>
      <c r="P35" s="2">
        <v>33</v>
      </c>
      <c r="Q35" s="22" t="str">
        <f t="shared" si="11"/>
        <v/>
      </c>
      <c r="R35" s="22" t="str">
        <f t="shared" si="12"/>
        <v/>
      </c>
      <c r="T35" s="2">
        <v>33</v>
      </c>
      <c r="U35" s="409" t="str">
        <f t="shared" ref="U35:U54" si="16" xml:space="preserve"> J35</f>
        <v>p</v>
      </c>
      <c r="V35" s="411" t="str">
        <f t="shared" ref="V35:V54" si="17">I35</f>
        <v>N</v>
      </c>
      <c r="W35" s="410" t="str" cm="1">
        <f t="array" ref="W35" xml:space="preserve"> INDEX(注音編碼對照表!$E$3:$E$58, MATCH(TRUE, EXACT(表格1_33411[[#This Row],[注音編碼]], 注音編碼對照表!$D$3:$D$54), 0))</f>
        <v>ㄣ</v>
      </c>
      <c r="X35" s="412" t="str" cm="1">
        <f t="array" ref="X35" xml:space="preserve"> INDEX(注音編碼對照表!$G$3:$G$58, MATCH(TRUE, EXACT(表格1_33411[[#This Row],[注音編碼]], 注音編碼對照表!$D$3:$D$54), 0))</f>
        <v>-n</v>
      </c>
      <c r="Y35" s="24"/>
      <c r="Z35" s="98">
        <f t="shared" si="13"/>
        <v>33</v>
      </c>
      <c r="AA35" s="71" t="str">
        <f t="shared" ref="AA35:AA54" si="18">U35</f>
        <v>p</v>
      </c>
      <c r="AB35" s="379" t="str">
        <f t="shared" ref="AB35:AB54" si="19">V35</f>
        <v>N</v>
      </c>
      <c r="AC35" s="32" t="str">
        <f t="shared" ref="AC35:AC54" si="20">W35</f>
        <v>ㄣ</v>
      </c>
      <c r="AD35" s="430" t="str">
        <f t="shared" ref="AD35:AD54" si="21">X35</f>
        <v>-n</v>
      </c>
      <c r="AE35" s="2"/>
      <c r="AF35" s="421" t="s">
        <v>97</v>
      </c>
      <c r="AG35" s="2"/>
      <c r="AV35" s="11"/>
      <c r="AX35" s="2"/>
      <c r="AY35" s="443"/>
      <c r="BB35" s="2"/>
    </row>
    <row r="36" spans="2:54" ht="32.25">
      <c r="H36" s="2">
        <f t="shared" si="6"/>
        <v>34</v>
      </c>
      <c r="I36" s="136" t="str">
        <f t="shared" si="7"/>
        <v>G</v>
      </c>
      <c r="J36" s="136" t="str">
        <f t="shared" si="8"/>
        <v>;</v>
      </c>
      <c r="L36" s="2">
        <v>34</v>
      </c>
      <c r="M36" s="21" t="str">
        <f t="shared" si="15"/>
        <v>;</v>
      </c>
      <c r="N36" s="21" t="str">
        <f t="shared" si="10"/>
        <v>ㄤ</v>
      </c>
      <c r="P36" s="2">
        <v>34</v>
      </c>
      <c r="Q36" s="22" t="str">
        <f t="shared" si="11"/>
        <v/>
      </c>
      <c r="R36" s="22" t="str">
        <f t="shared" si="12"/>
        <v/>
      </c>
      <c r="T36" s="2">
        <v>34</v>
      </c>
      <c r="U36" s="409" t="str">
        <f t="shared" si="16"/>
        <v>;</v>
      </c>
      <c r="V36" s="411" t="str">
        <f t="shared" si="17"/>
        <v>G</v>
      </c>
      <c r="W36" s="410" t="str" cm="1">
        <f t="array" ref="W36" xml:space="preserve"> INDEX(注音編碼對照表!$E$3:$E$58, MATCH(TRUE, EXACT(表格1_33411[[#This Row],[注音編碼]], 注音編碼對照表!$D$3:$D$54), 0))</f>
        <v>ㄤ</v>
      </c>
      <c r="X36" s="412" t="str" cm="1">
        <f t="array" ref="X36" xml:space="preserve"> INDEX(注音編碼對照表!$G$3:$G$58, MATCH(TRUE, EXACT(表格1_33411[[#This Row],[注音編碼]], 注音編碼對照表!$D$3:$D$54), 0))</f>
        <v>ang</v>
      </c>
      <c r="Y36" s="24"/>
      <c r="Z36" s="98">
        <f t="shared" si="13"/>
        <v>34</v>
      </c>
      <c r="AA36" s="71" t="str">
        <f t="shared" si="18"/>
        <v>;</v>
      </c>
      <c r="AB36" s="379" t="str">
        <f t="shared" si="19"/>
        <v>G</v>
      </c>
      <c r="AC36" s="32" t="str">
        <f t="shared" si="20"/>
        <v>ㄤ</v>
      </c>
      <c r="AD36" s="430" t="str">
        <f t="shared" si="21"/>
        <v>ang</v>
      </c>
      <c r="AE36" s="2"/>
      <c r="AF36" s="421" t="s">
        <v>95</v>
      </c>
      <c r="AG36" s="2"/>
      <c r="AV36" s="11"/>
      <c r="AX36" s="2"/>
      <c r="AY36" s="443"/>
      <c r="BB36" s="2"/>
    </row>
    <row r="37" spans="2:54" ht="32.25">
      <c r="H37" s="2">
        <f t="shared" si="6"/>
        <v>35</v>
      </c>
      <c r="I37" s="136" t="str">
        <f t="shared" si="7"/>
        <v>H</v>
      </c>
      <c r="J37" s="136" t="str">
        <f t="shared" si="8"/>
        <v>:</v>
      </c>
      <c r="L37" s="2">
        <v>35</v>
      </c>
      <c r="M37" s="21" t="str">
        <f t="shared" si="15"/>
        <v>:</v>
      </c>
      <c r="N37" s="21" t="str">
        <f t="shared" si="10"/>
        <v>ㆲ</v>
      </c>
      <c r="P37" s="2">
        <v>35</v>
      </c>
      <c r="Q37" s="22" t="str">
        <f t="shared" si="11"/>
        <v/>
      </c>
      <c r="R37" s="22" t="str">
        <f t="shared" si="12"/>
        <v/>
      </c>
      <c r="T37" s="2">
        <v>35</v>
      </c>
      <c r="U37" s="409" t="str">
        <f t="shared" si="16"/>
        <v>:</v>
      </c>
      <c r="V37" s="411" t="str">
        <f t="shared" si="17"/>
        <v>H</v>
      </c>
      <c r="W37" s="410" t="str" cm="1">
        <f t="array" ref="W37" xml:space="preserve"> INDEX(注音編碼對照表!$E$3:$E$58, MATCH(TRUE, EXACT(表格1_33411[[#This Row],[注音編碼]], 注音編碼對照表!$D$3:$D$54), 0))</f>
        <v>ㆲ</v>
      </c>
      <c r="X37" s="412" t="str" cm="1">
        <f t="array" ref="X37" xml:space="preserve"> INDEX(注音編碼對照表!$G$3:$G$58, MATCH(TRUE, EXACT(表格1_33411[[#This Row],[注音編碼]], 注音編碼對照表!$D$3:$D$54), 0))</f>
        <v>ong</v>
      </c>
      <c r="Y37" s="24"/>
      <c r="Z37" s="98">
        <f t="shared" si="13"/>
        <v>35</v>
      </c>
      <c r="AA37" s="71" t="str">
        <f t="shared" si="18"/>
        <v>:</v>
      </c>
      <c r="AB37" s="379" t="str">
        <f t="shared" si="19"/>
        <v>H</v>
      </c>
      <c r="AC37" s="32" t="str">
        <f t="shared" si="20"/>
        <v>ㆲ</v>
      </c>
      <c r="AD37" s="430" t="str">
        <f t="shared" si="21"/>
        <v>ong</v>
      </c>
      <c r="AE37" s="2"/>
      <c r="AF37" s="421" t="s">
        <v>101</v>
      </c>
      <c r="AG37" s="2"/>
      <c r="AV37" s="11"/>
      <c r="AX37" s="2"/>
      <c r="AY37" s="443"/>
      <c r="BB37" s="2"/>
    </row>
    <row r="38" spans="2:54" ht="32.25">
      <c r="H38" s="2">
        <f t="shared" si="6"/>
        <v>36</v>
      </c>
      <c r="I38" s="136" t="str">
        <f t="shared" si="7"/>
        <v>W</v>
      </c>
      <c r="J38" s="136" t="str">
        <f t="shared" si="8"/>
        <v>/</v>
      </c>
      <c r="L38" s="2">
        <v>36</v>
      </c>
      <c r="M38" s="21" t="str">
        <f t="shared" si="15"/>
        <v>/</v>
      </c>
      <c r="N38" s="21" t="str">
        <f t="shared" si="10"/>
        <v>ㆭ</v>
      </c>
      <c r="P38" s="2">
        <v>36</v>
      </c>
      <c r="Q38" s="22" t="str">
        <f t="shared" si="11"/>
        <v/>
      </c>
      <c r="R38" s="22" t="str">
        <f t="shared" si="12"/>
        <v/>
      </c>
      <c r="T38" s="2">
        <v>36</v>
      </c>
      <c r="U38" s="409" t="str">
        <f t="shared" si="16"/>
        <v>/</v>
      </c>
      <c r="V38" s="411" t="str">
        <f t="shared" si="17"/>
        <v>W</v>
      </c>
      <c r="W38" s="410" t="str" cm="1">
        <f t="array" ref="W38" xml:space="preserve"> INDEX(注音編碼對照表!$E$3:$E$58, MATCH(TRUE, EXACT(表格1_33411[[#This Row],[注音編碼]], 注音編碼對照表!$D$3:$D$54), 0))</f>
        <v>ㆭ</v>
      </c>
      <c r="X38" s="412" t="str" cm="1">
        <f t="array" ref="X38" xml:space="preserve"> INDEX(注音編碼對照表!$G$3:$G$58, MATCH(TRUE, EXACT(表格1_33411[[#This Row],[注音編碼]], 注音編碼對照表!$D$3:$D$54), 0))</f>
        <v>-ng</v>
      </c>
      <c r="Y38" s="24"/>
      <c r="Z38" s="98">
        <f t="shared" si="13"/>
        <v>36</v>
      </c>
      <c r="AA38" s="71" t="str">
        <f t="shared" si="18"/>
        <v>/</v>
      </c>
      <c r="AB38" s="379" t="str">
        <f t="shared" si="19"/>
        <v>W</v>
      </c>
      <c r="AC38" s="32" t="str">
        <f t="shared" si="20"/>
        <v>ㆭ</v>
      </c>
      <c r="AD38" s="430" t="str">
        <f t="shared" si="21"/>
        <v>-ng</v>
      </c>
      <c r="AE38" s="2"/>
      <c r="AF38" s="421" t="s">
        <v>593</v>
      </c>
      <c r="AG38" s="2"/>
      <c r="AV38" s="11"/>
      <c r="AX38" s="2"/>
      <c r="AY38" s="443"/>
      <c r="BB38" s="2"/>
    </row>
    <row r="39" spans="2:54" ht="32.25">
      <c r="H39" s="2">
        <f t="shared" si="6"/>
        <v>37</v>
      </c>
      <c r="I39" s="136" t="str">
        <f t="shared" si="7"/>
        <v>R</v>
      </c>
      <c r="J39" s="136" t="str">
        <f t="shared" si="8"/>
        <v>-</v>
      </c>
      <c r="L39" s="2">
        <v>37</v>
      </c>
      <c r="M39" s="21" t="str">
        <f t="shared" si="15"/>
        <v>-</v>
      </c>
      <c r="N39" s="21" t="str">
        <f t="shared" si="10"/>
        <v>ㆨ</v>
      </c>
      <c r="P39" s="2">
        <v>37</v>
      </c>
      <c r="Q39" s="22" t="str">
        <f t="shared" si="11"/>
        <v/>
      </c>
      <c r="R39" s="22" t="str">
        <f t="shared" si="12"/>
        <v/>
      </c>
      <c r="T39" s="2">
        <v>37</v>
      </c>
      <c r="U39" s="409" t="str">
        <f t="shared" si="16"/>
        <v>-</v>
      </c>
      <c r="V39" s="411" t="str">
        <f t="shared" si="17"/>
        <v>R</v>
      </c>
      <c r="W39" s="410" t="str" cm="1">
        <f t="array" ref="W39" xml:space="preserve"> INDEX(注音編碼對照表!$E$3:$E$58, MATCH(TRUE, EXACT(表格1_33411[[#This Row],[注音編碼]], 注音編碼對照表!$D$3:$D$54), 0))</f>
        <v>ㆨ</v>
      </c>
      <c r="X39" s="412" t="str" cm="1">
        <f t="array" ref="X39" xml:space="preserve"> INDEX(注音編碼對照表!$G$3:$G$58, MATCH(TRUE, EXACT(表格1_33411[[#This Row],[注音編碼]], 注音編碼對照表!$D$3:$D$54), 0))</f>
        <v>ir</v>
      </c>
      <c r="Y39" s="24"/>
      <c r="Z39" s="98">
        <f t="shared" si="13"/>
        <v>37</v>
      </c>
      <c r="AA39" s="492" t="str">
        <f t="shared" si="18"/>
        <v>-</v>
      </c>
      <c r="AB39" s="493" t="str">
        <f t="shared" si="19"/>
        <v>R</v>
      </c>
      <c r="AC39" s="494" t="str">
        <f t="shared" si="20"/>
        <v>ㆨ</v>
      </c>
      <c r="AD39" s="495" t="str">
        <f t="shared" si="21"/>
        <v>ir</v>
      </c>
      <c r="AE39" s="2"/>
      <c r="AF39" s="421" t="s">
        <v>125</v>
      </c>
      <c r="AG39" s="2"/>
      <c r="AV39" s="11"/>
      <c r="AX39" s="2"/>
      <c r="AY39" s="443"/>
      <c r="BB39" s="2"/>
    </row>
    <row r="40" spans="2:54" ht="32.25">
      <c r="H40" s="2">
        <f t="shared" si="6"/>
        <v>38</v>
      </c>
      <c r="I40" s="136" t="str">
        <f t="shared" si="7"/>
        <v>D</v>
      </c>
      <c r="J40" s="136" t="str">
        <f t="shared" si="8"/>
        <v>O</v>
      </c>
      <c r="L40" s="2">
        <v>38</v>
      </c>
      <c r="M40" s="21" t="str">
        <f t="shared" si="15"/>
        <v>O</v>
      </c>
      <c r="N40" s="21" t="str">
        <f t="shared" si="10"/>
        <v>ㆱ</v>
      </c>
      <c r="P40" s="2">
        <v>38</v>
      </c>
      <c r="Q40" s="22" t="str">
        <f t="shared" si="11"/>
        <v/>
      </c>
      <c r="R40" s="22" t="str">
        <f t="shared" si="12"/>
        <v/>
      </c>
      <c r="T40" s="2">
        <v>38</v>
      </c>
      <c r="U40" s="409" t="str">
        <f t="shared" si="16"/>
        <v>O</v>
      </c>
      <c r="V40" s="411" t="str">
        <f t="shared" si="17"/>
        <v>D</v>
      </c>
      <c r="W40" s="410" t="str" cm="1">
        <f t="array" ref="W40" xml:space="preserve"> INDEX(注音編碼對照表!$E$3:$E$58, MATCH(TRUE, EXACT(表格1_33411[[#This Row],[注音編碼]], 注音編碼對照表!$D$3:$D$54), 0))</f>
        <v>ㆱ</v>
      </c>
      <c r="X40" s="412" t="str" cm="1">
        <f t="array" ref="X40" xml:space="preserve"> INDEX(注音編碼對照表!$G$3:$G$58, MATCH(TRUE, EXACT(表格1_33411[[#This Row],[注音編碼]], 注音編碼對照表!$D$3:$D$54), 0))</f>
        <v>om</v>
      </c>
      <c r="Y40" s="24"/>
      <c r="Z40" s="98">
        <f t="shared" si="13"/>
        <v>38</v>
      </c>
      <c r="AA40" s="492" t="str">
        <f t="shared" si="18"/>
        <v>O</v>
      </c>
      <c r="AB40" s="493" t="str">
        <f t="shared" si="19"/>
        <v>D</v>
      </c>
      <c r="AC40" s="494" t="str">
        <f t="shared" si="20"/>
        <v>ㆱ</v>
      </c>
      <c r="AD40" s="495" t="str">
        <f t="shared" si="21"/>
        <v>om</v>
      </c>
      <c r="AE40" s="2"/>
      <c r="AF40" s="421" t="s">
        <v>99</v>
      </c>
      <c r="AG40" s="2"/>
      <c r="AV40" s="11"/>
      <c r="AX40" s="2"/>
      <c r="AY40" s="443"/>
      <c r="BB40" s="2"/>
    </row>
    <row r="41" spans="2:54" ht="32.25">
      <c r="H41" s="2">
        <f t="shared" si="6"/>
        <v>39</v>
      </c>
      <c r="I41" s="136" t="str">
        <f t="shared" si="7"/>
        <v>V</v>
      </c>
      <c r="J41" s="136" t="str">
        <f t="shared" si="8"/>
        <v>A</v>
      </c>
      <c r="L41" s="2">
        <v>39</v>
      </c>
      <c r="M41" s="21" t="str">
        <f t="shared" si="15"/>
        <v>A</v>
      </c>
      <c r="N41" s="21" t="str">
        <f t="shared" si="10"/>
        <v>ㆰ</v>
      </c>
      <c r="P41" s="2">
        <v>39</v>
      </c>
      <c r="Q41" s="22" t="str">
        <f t="shared" si="11"/>
        <v/>
      </c>
      <c r="R41" s="22" t="str">
        <f t="shared" si="12"/>
        <v/>
      </c>
      <c r="T41" s="2">
        <v>39</v>
      </c>
      <c r="U41" s="409" t="str">
        <f t="shared" si="16"/>
        <v>A</v>
      </c>
      <c r="V41" s="411" t="str">
        <f t="shared" si="17"/>
        <v>V</v>
      </c>
      <c r="W41" s="410" t="str" cm="1">
        <f t="array" ref="W41" xml:space="preserve"> INDEX(注音編碼對照表!$E$3:$E$58, MATCH(TRUE, EXACT(表格1_33411[[#This Row],[注音編碼]], 注音編碼對照表!$D$3:$D$54), 0))</f>
        <v>ㆰ</v>
      </c>
      <c r="X41" s="412" t="str" cm="1">
        <f t="array" ref="X41" xml:space="preserve"> INDEX(注音編碼對照表!$G$3:$G$58, MATCH(TRUE, EXACT(表格1_33411[[#This Row],[注音編碼]], 注音編碼對照表!$D$3:$D$54), 0))</f>
        <v>am</v>
      </c>
      <c r="Y41" s="24"/>
      <c r="Z41" s="98">
        <f t="shared" si="13"/>
        <v>39</v>
      </c>
      <c r="AA41" s="492" t="str">
        <f t="shared" si="18"/>
        <v>A</v>
      </c>
      <c r="AB41" s="493" t="str">
        <f t="shared" si="19"/>
        <v>V</v>
      </c>
      <c r="AC41" s="494" t="str">
        <f t="shared" si="20"/>
        <v>ㆰ</v>
      </c>
      <c r="AD41" s="495" t="str">
        <f t="shared" si="21"/>
        <v>am</v>
      </c>
      <c r="AE41" s="2"/>
      <c r="AF41" s="421" t="s">
        <v>145</v>
      </c>
      <c r="AG41" s="2"/>
      <c r="AV41" s="11"/>
      <c r="AX41" s="2"/>
      <c r="AY41" s="443"/>
      <c r="BB41" s="2"/>
    </row>
    <row r="42" spans="2:54" ht="32.25">
      <c r="H42" s="2">
        <f t="shared" si="6"/>
        <v>40</v>
      </c>
      <c r="I42" s="136" t="str">
        <f t="shared" si="7"/>
        <v>I</v>
      </c>
      <c r="J42" s="136" t="str">
        <f t="shared" si="8"/>
        <v>U</v>
      </c>
      <c r="L42" s="2">
        <v>40</v>
      </c>
      <c r="M42" s="21" t="str">
        <f t="shared" si="15"/>
        <v>U</v>
      </c>
      <c r="N42" s="21" t="str">
        <f t="shared" si="10"/>
        <v>ㆪ</v>
      </c>
      <c r="P42" s="2">
        <v>40</v>
      </c>
      <c r="Q42" s="22" t="str">
        <f t="shared" si="11"/>
        <v/>
      </c>
      <c r="R42" s="22" t="str">
        <f t="shared" si="12"/>
        <v/>
      </c>
      <c r="T42" s="2">
        <v>40</v>
      </c>
      <c r="U42" s="409" t="str">
        <f t="shared" si="16"/>
        <v>U</v>
      </c>
      <c r="V42" s="411" t="str">
        <f t="shared" si="17"/>
        <v>I</v>
      </c>
      <c r="W42" s="410" t="str" cm="1">
        <f t="array" ref="W42" xml:space="preserve"> INDEX(注音編碼對照表!$E$3:$E$58, MATCH(TRUE, EXACT(表格1_33411[[#This Row],[注音編碼]], 注音編碼對照表!$D$3:$D$54), 0))</f>
        <v>ㆪ</v>
      </c>
      <c r="X42" s="412" t="str" cm="1">
        <f t="array" ref="X42" xml:space="preserve"> INDEX(注音編碼對照表!$G$3:$G$58, MATCH(TRUE, EXACT(表格1_33411[[#This Row],[注音編碼]], 注音編碼對照表!$D$3:$D$54), 0))</f>
        <v>inn</v>
      </c>
      <c r="Y42" s="24"/>
      <c r="Z42" s="98">
        <f t="shared" si="13"/>
        <v>40</v>
      </c>
      <c r="AA42" s="492" t="str">
        <f t="shared" si="18"/>
        <v>U</v>
      </c>
      <c r="AB42" s="493" t="str">
        <f t="shared" si="19"/>
        <v>I</v>
      </c>
      <c r="AC42" s="494" t="str">
        <f t="shared" si="20"/>
        <v>ㆪ</v>
      </c>
      <c r="AD42" s="495" t="str">
        <f t="shared" si="21"/>
        <v>inn</v>
      </c>
      <c r="AE42" s="2"/>
      <c r="AF42" s="421" t="s">
        <v>74</v>
      </c>
      <c r="AG42" s="2"/>
      <c r="AV42" s="11"/>
      <c r="AX42" s="2"/>
      <c r="AY42" s="443"/>
      <c r="BB42" s="2"/>
    </row>
    <row r="43" spans="2:54" ht="32.25">
      <c r="H43" s="2">
        <f t="shared" si="6"/>
        <v>41</v>
      </c>
      <c r="I43" s="136" t="str">
        <f t="shared" si="7"/>
        <v>U</v>
      </c>
      <c r="J43" s="136" t="str">
        <f t="shared" si="8"/>
        <v>J</v>
      </c>
      <c r="L43" s="2">
        <v>41</v>
      </c>
      <c r="M43" s="21" t="str">
        <f t="shared" si="15"/>
        <v>J</v>
      </c>
      <c r="N43" s="21" t="str">
        <f t="shared" si="10"/>
        <v>ㆫ</v>
      </c>
      <c r="P43" s="2">
        <v>41</v>
      </c>
      <c r="Q43" s="22" t="str">
        <f t="shared" si="11"/>
        <v/>
      </c>
      <c r="R43" s="22" t="str">
        <f t="shared" si="12"/>
        <v/>
      </c>
      <c r="T43" s="2">
        <v>41</v>
      </c>
      <c r="U43" s="409" t="str">
        <f t="shared" si="16"/>
        <v>J</v>
      </c>
      <c r="V43" s="411" t="str">
        <f t="shared" si="17"/>
        <v>U</v>
      </c>
      <c r="W43" s="410" t="str" cm="1">
        <f t="array" ref="W43" xml:space="preserve"> INDEX(注音編碼對照表!$E$3:$E$58, MATCH(TRUE, EXACT(表格1_33411[[#This Row],[注音編碼]], 注音編碼對照表!$D$3:$D$54), 0))</f>
        <v>ㆫ</v>
      </c>
      <c r="X43" s="412" t="str" cm="1">
        <f t="array" ref="X43" xml:space="preserve"> INDEX(注音編碼對照表!$G$3:$G$58, MATCH(TRUE, EXACT(表格1_33411[[#This Row],[注音編碼]], 注音編碼對照表!$D$3:$D$54), 0))</f>
        <v>unn</v>
      </c>
      <c r="Y43" s="24"/>
      <c r="Z43" s="98">
        <f t="shared" si="13"/>
        <v>41</v>
      </c>
      <c r="AA43" s="492" t="str">
        <f t="shared" si="18"/>
        <v>J</v>
      </c>
      <c r="AB43" s="493" t="str">
        <f t="shared" si="19"/>
        <v>U</v>
      </c>
      <c r="AC43" s="494" t="str">
        <f t="shared" si="20"/>
        <v>ㆫ</v>
      </c>
      <c r="AD43" s="495" t="str">
        <f t="shared" si="21"/>
        <v>unn</v>
      </c>
      <c r="AE43" s="88" t="s">
        <v>650</v>
      </c>
      <c r="AF43" s="421" t="s">
        <v>76</v>
      </c>
      <c r="AG43" s="2"/>
      <c r="AV43" s="11"/>
      <c r="AX43" s="2"/>
      <c r="AY43" s="443"/>
      <c r="BB43" s="2"/>
    </row>
    <row r="44" spans="2:54" ht="32.25">
      <c r="H44" s="2">
        <f t="shared" si="6"/>
        <v>42</v>
      </c>
      <c r="I44" s="136" t="str">
        <f t="shared" si="7"/>
        <v>A</v>
      </c>
      <c r="J44" s="136" t="str">
        <f t="shared" si="8"/>
        <v>*</v>
      </c>
      <c r="L44" s="2">
        <v>42</v>
      </c>
      <c r="M44" s="21" t="str">
        <f t="shared" si="15"/>
        <v>*</v>
      </c>
      <c r="N44" s="21" t="str">
        <f t="shared" si="10"/>
        <v>ㆩ</v>
      </c>
      <c r="P44" s="2">
        <v>42</v>
      </c>
      <c r="Q44" s="22" t="str">
        <f t="shared" si="11"/>
        <v/>
      </c>
      <c r="R44" s="22" t="str">
        <f t="shared" si="12"/>
        <v/>
      </c>
      <c r="T44" s="2">
        <v>42</v>
      </c>
      <c r="U44" s="409" t="str">
        <f t="shared" si="16"/>
        <v>*</v>
      </c>
      <c r="V44" s="411" t="str">
        <f t="shared" si="17"/>
        <v>A</v>
      </c>
      <c r="W44" s="410" t="str" cm="1">
        <f t="array" ref="W44" xml:space="preserve"> INDEX(注音編碼對照表!$E$3:$E$58, MATCH(TRUE, EXACT(表格1_33411[[#This Row],[注音編碼]], 注音編碼對照表!$D$3:$D$54), 0))</f>
        <v>ㆩ</v>
      </c>
      <c r="X44" s="412" t="str" cm="1">
        <f t="array" ref="X44" xml:space="preserve"> INDEX(注音編碼對照表!$G$3:$G$58, MATCH(TRUE, EXACT(表格1_33411[[#This Row],[注音編碼]], 注音編碼對照表!$D$3:$D$54), 0))</f>
        <v>ann</v>
      </c>
      <c r="Y44" s="24"/>
      <c r="Z44" s="98">
        <f t="shared" si="13"/>
        <v>42</v>
      </c>
      <c r="AA44" s="492" t="str">
        <f t="shared" si="18"/>
        <v>*</v>
      </c>
      <c r="AB44" s="493" t="str">
        <f t="shared" si="19"/>
        <v>A</v>
      </c>
      <c r="AC44" s="494" t="str">
        <f t="shared" si="20"/>
        <v>ㆩ</v>
      </c>
      <c r="AD44" s="495" t="str">
        <f t="shared" si="21"/>
        <v>ann</v>
      </c>
      <c r="AE44" s="2" t="s">
        <v>651</v>
      </c>
      <c r="AF44" s="421" t="s">
        <v>594</v>
      </c>
      <c r="AG44" s="2"/>
      <c r="AV44" s="11"/>
      <c r="AX44" s="2"/>
      <c r="AY44" s="443"/>
      <c r="BB44" s="2"/>
    </row>
    <row r="45" spans="2:54" ht="32.25">
      <c r="H45" s="2">
        <f t="shared" si="6"/>
        <v>43</v>
      </c>
      <c r="I45" s="136" t="str">
        <f t="shared" si="7"/>
        <v>Q</v>
      </c>
      <c r="J45" s="136" t="str">
        <f t="shared" si="8"/>
        <v>I</v>
      </c>
      <c r="L45" s="2">
        <v>43</v>
      </c>
      <c r="M45" s="21" t="str">
        <f t="shared" si="15"/>
        <v>I</v>
      </c>
      <c r="N45" s="21" t="str">
        <f t="shared" si="10"/>
        <v>ㆧ</v>
      </c>
      <c r="R45" s="2"/>
      <c r="T45" s="2">
        <v>43</v>
      </c>
      <c r="U45" s="409" t="str">
        <f t="shared" si="16"/>
        <v>I</v>
      </c>
      <c r="V45" s="411" t="str">
        <f t="shared" si="17"/>
        <v>Q</v>
      </c>
      <c r="W45" s="410" t="str" cm="1">
        <f t="array" ref="W45" xml:space="preserve"> INDEX(注音編碼對照表!$E$3:$E$58, MATCH(TRUE, EXACT(表格1_33411[[#This Row],[注音編碼]], 注音編碼對照表!$D$3:$D$54), 0))</f>
        <v>ㆧ</v>
      </c>
      <c r="X45" s="412" t="str" cm="1">
        <f t="array" ref="X45" xml:space="preserve"> INDEX(注音編碼對照表!$G$3:$G$58, MATCH(TRUE, EXACT(表格1_33411[[#This Row],[注音編碼]], 注音編碼對照表!$D$3:$D$54), 0))</f>
        <v>onn</v>
      </c>
      <c r="Y45" s="24"/>
      <c r="Z45" s="98">
        <f t="shared" si="13"/>
        <v>43</v>
      </c>
      <c r="AA45" s="492" t="str">
        <f t="shared" si="18"/>
        <v>I</v>
      </c>
      <c r="AB45" s="493" t="str">
        <f t="shared" si="19"/>
        <v>Q</v>
      </c>
      <c r="AC45" s="494" t="str">
        <f t="shared" si="20"/>
        <v>ㆧ</v>
      </c>
      <c r="AD45" s="495" t="str">
        <f t="shared" si="21"/>
        <v>onn</v>
      </c>
      <c r="AE45" s="2"/>
      <c r="AF45" s="421"/>
      <c r="AG45" s="2"/>
      <c r="AV45" s="11"/>
      <c r="AX45" s="2"/>
      <c r="AY45" s="443"/>
      <c r="BB45" s="2"/>
    </row>
    <row r="46" spans="2:54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6"/>
        <v>44</v>
      </c>
      <c r="I46" s="136" t="str">
        <f t="shared" si="7"/>
        <v>E</v>
      </c>
      <c r="J46" s="136" t="str">
        <f t="shared" si="8"/>
        <v>&lt;</v>
      </c>
      <c r="L46" s="2">
        <v>44</v>
      </c>
      <c r="M46" s="21" t="str">
        <f t="shared" si="15"/>
        <v>&lt;</v>
      </c>
      <c r="N46" s="21" t="str">
        <f t="shared" si="10"/>
        <v>ㆥ</v>
      </c>
      <c r="R46" s="2"/>
      <c r="T46" s="2">
        <v>44</v>
      </c>
      <c r="U46" s="409" t="str">
        <f t="shared" si="16"/>
        <v>&lt;</v>
      </c>
      <c r="V46" s="411" t="str">
        <f t="shared" si="17"/>
        <v>E</v>
      </c>
      <c r="W46" s="410" t="str" cm="1">
        <f t="array" ref="W46" xml:space="preserve"> INDEX(注音編碼對照表!$E$3:$E$58, MATCH(TRUE, EXACT(表格1_33411[[#This Row],[注音編碼]], 注音編碼對照表!$D$3:$D$54), 0))</f>
        <v>ㆥ</v>
      </c>
      <c r="X46" s="412" t="str" cm="1">
        <f t="array" ref="X46" xml:space="preserve"> INDEX(注音編碼對照表!$G$3:$G$58, MATCH(TRUE, EXACT(表格1_33411[[#This Row],[注音編碼]], 注音編碼對照表!$D$3:$D$54), 0))</f>
        <v>enn</v>
      </c>
      <c r="Y46" s="24"/>
      <c r="Z46" s="98">
        <f t="shared" si="13"/>
        <v>44</v>
      </c>
      <c r="AA46" s="439" t="str">
        <f t="shared" si="18"/>
        <v>&lt;</v>
      </c>
      <c r="AB46" s="441" t="str">
        <f t="shared" si="19"/>
        <v>E</v>
      </c>
      <c r="AC46" s="440" t="str">
        <f t="shared" si="20"/>
        <v>ㆥ</v>
      </c>
      <c r="AD46" s="442" t="str">
        <f t="shared" si="21"/>
        <v>enn</v>
      </c>
      <c r="AE46" s="2"/>
      <c r="AF46" s="421"/>
      <c r="AG46" s="2"/>
      <c r="AV46" s="11"/>
      <c r="AX46" s="2"/>
      <c r="AY46" s="443"/>
      <c r="BB46" s="2"/>
    </row>
    <row r="47" spans="2:54" ht="32.25">
      <c r="B47" s="93" t="s">
        <v>136</v>
      </c>
      <c r="C47" s="2">
        <v>1</v>
      </c>
      <c r="D47" s="21" t="str">
        <f t="shared" ref="D47:D88" si="22" xml:space="preserve"> MID($B$47, $C47, 1)</f>
        <v>1</v>
      </c>
      <c r="E47" s="5" t="str">
        <f t="shared" ref="E47:E88" si="23" xml:space="preserve"> IFERROR( INDEX($N$3:$N$44, MATCH(D47, $M$3:$M$44, 0)), "")</f>
        <v>ㄅ</v>
      </c>
      <c r="F47" s="5" t="str">
        <f t="shared" ref="F47:F88" si="24" xml:space="preserve"> IFERROR( INDEX($I$3:$I$44, MATCH($D47, $J$3:$J$44, 0)), "")</f>
        <v>p</v>
      </c>
      <c r="G47" s="5"/>
      <c r="H47" s="2">
        <f t="shared" si="6"/>
        <v>45</v>
      </c>
      <c r="I47" s="136" t="str">
        <f t="shared" si="7"/>
        <v>Y</v>
      </c>
      <c r="J47" s="136" t="str">
        <f t="shared" si="8"/>
        <v>(</v>
      </c>
      <c r="L47" s="2">
        <v>45</v>
      </c>
      <c r="M47" s="21" t="str">
        <f t="shared" si="15"/>
        <v>(</v>
      </c>
      <c r="N47" s="21" t="str">
        <f t="shared" si="10"/>
        <v>ㆮ</v>
      </c>
      <c r="R47" s="2"/>
      <c r="T47" s="2">
        <v>45</v>
      </c>
      <c r="U47" s="409" t="str">
        <f t="shared" si="16"/>
        <v>(</v>
      </c>
      <c r="V47" s="411" t="str">
        <f t="shared" si="17"/>
        <v>Y</v>
      </c>
      <c r="W47" s="410" t="str" cm="1">
        <f t="array" ref="W47" xml:space="preserve"> INDEX(注音編碼對照表!$E$3:$E$58, MATCH(TRUE, EXACT(表格1_33411[[#This Row],[注音編碼]], 注音編碼對照表!$D$3:$D$54), 0))</f>
        <v>ㆮ</v>
      </c>
      <c r="X47" s="412" t="str" cm="1">
        <f t="array" ref="X47" xml:space="preserve"> INDEX(注音編碼對照表!$G$3:$G$58, MATCH(TRUE, EXACT(表格1_33411[[#This Row],[注音編碼]], 注音編碼對照表!$D$3:$D$54), 0))</f>
        <v>ainn</v>
      </c>
      <c r="Y47" s="24"/>
      <c r="Z47" s="98">
        <f t="shared" si="13"/>
        <v>45</v>
      </c>
      <c r="AA47" s="439" t="str">
        <f t="shared" si="18"/>
        <v>(</v>
      </c>
      <c r="AB47" s="441" t="str">
        <f t="shared" si="19"/>
        <v>Y</v>
      </c>
      <c r="AC47" s="440" t="str">
        <f t="shared" si="20"/>
        <v>ㆮ</v>
      </c>
      <c r="AD47" s="442" t="str">
        <f t="shared" si="21"/>
        <v>ainn</v>
      </c>
      <c r="AE47" s="2"/>
      <c r="AF47" s="421"/>
      <c r="AG47" s="2"/>
      <c r="AV47" s="11"/>
      <c r="AX47" s="2"/>
      <c r="AY47" s="443"/>
      <c r="BB47" s="2"/>
    </row>
    <row r="48" spans="2:54" ht="32.25">
      <c r="B48" s="40" t="str">
        <f xml:space="preserve"> _xlfn.CONCAT(鍵盤位置)</f>
        <v>1!qa2wsxeEdcbyhnBYHN?ujm8ik,9l.0p;:/-OAUJ*I&lt;(L 43657</v>
      </c>
      <c r="C48" s="2">
        <v>2</v>
      </c>
      <c r="D48" s="21" t="str">
        <f t="shared" si="22"/>
        <v>q</v>
      </c>
      <c r="E48" s="5" t="str">
        <f t="shared" si="23"/>
        <v>ㄆ</v>
      </c>
      <c r="F48" s="5" t="str">
        <f t="shared" si="24"/>
        <v>P</v>
      </c>
      <c r="G48" s="5"/>
      <c r="H48" s="2">
        <f t="shared" si="6"/>
        <v>46</v>
      </c>
      <c r="I48" s="136" t="str">
        <f t="shared" si="7"/>
        <v>X</v>
      </c>
      <c r="J48" s="136" t="str">
        <f t="shared" si="8"/>
        <v>L</v>
      </c>
      <c r="L48" s="2">
        <v>46</v>
      </c>
      <c r="M48" s="21" t="str">
        <f t="shared" si="15"/>
        <v>L</v>
      </c>
      <c r="N48" s="21" t="str">
        <f t="shared" si="10"/>
        <v>ㆯ</v>
      </c>
      <c r="R48" s="2"/>
      <c r="T48" s="2">
        <v>46</v>
      </c>
      <c r="U48" s="409" t="str">
        <f t="shared" si="16"/>
        <v>L</v>
      </c>
      <c r="V48" s="411" t="str">
        <f t="shared" si="17"/>
        <v>X</v>
      </c>
      <c r="W48" s="410" t="str" cm="1">
        <f t="array" ref="W48" xml:space="preserve"> INDEX(注音編碼對照表!$E$3:$E$58, MATCH(TRUE, EXACT(表格1_33411[[#This Row],[注音編碼]], 注音編碼對照表!$D$3:$D$54), 0))</f>
        <v>ㆯ</v>
      </c>
      <c r="X48" s="412" t="str" cm="1">
        <f t="array" ref="X48" xml:space="preserve"> INDEX(注音編碼對照表!$G$3:$G$58, MATCH(TRUE, EXACT(表格1_33411[[#This Row],[注音編碼]], 注音編碼對照表!$D$3:$D$54), 0))</f>
        <v>aunn</v>
      </c>
      <c r="Y48" s="24"/>
      <c r="Z48" s="98">
        <f t="shared" si="13"/>
        <v>46</v>
      </c>
      <c r="AA48" s="439" t="str">
        <f t="shared" si="18"/>
        <v>L</v>
      </c>
      <c r="AB48" s="441" t="str">
        <f t="shared" si="19"/>
        <v>X</v>
      </c>
      <c r="AC48" s="440" t="str">
        <f t="shared" si="20"/>
        <v>ㆯ</v>
      </c>
      <c r="AD48" s="442" t="str">
        <f t="shared" si="21"/>
        <v>aunn</v>
      </c>
      <c r="AE48" s="2"/>
      <c r="AF48" s="421"/>
      <c r="AG48" s="2"/>
      <c r="AV48" s="11"/>
      <c r="AX48" s="2"/>
      <c r="AY48" s="443"/>
      <c r="BB48" s="2"/>
    </row>
    <row r="49" spans="2:54" ht="32.25">
      <c r="C49" s="2">
        <v>3</v>
      </c>
      <c r="D49" s="21" t="str">
        <f t="shared" si="22"/>
        <v>a</v>
      </c>
      <c r="E49" s="5" t="str">
        <f t="shared" si="23"/>
        <v>ㄇ</v>
      </c>
      <c r="F49" s="5" t="str">
        <f t="shared" si="24"/>
        <v>m</v>
      </c>
      <c r="G49" s="5"/>
      <c r="H49" s="2">
        <f t="shared" si="6"/>
        <v>47</v>
      </c>
      <c r="I49" s="136" t="str">
        <f t="shared" si="7"/>
        <v>1</v>
      </c>
      <c r="J49" s="136" t="str">
        <f t="shared" si="8"/>
        <v xml:space="preserve"> </v>
      </c>
      <c r="L49" s="2">
        <v>47</v>
      </c>
      <c r="M49" s="21" t="str">
        <f t="shared" si="15"/>
        <v>4</v>
      </c>
      <c r="N49" s="21" t="str">
        <f t="shared" si="10"/>
        <v>ˋ</v>
      </c>
      <c r="R49" s="2"/>
      <c r="T49" s="2">
        <v>47</v>
      </c>
      <c r="U49" s="409" t="str">
        <f t="shared" si="16"/>
        <v xml:space="preserve"> </v>
      </c>
      <c r="V49" s="411" t="str">
        <f t="shared" si="17"/>
        <v>1</v>
      </c>
      <c r="W49" s="410" t="str" cm="1">
        <f t="array" ref="W49" xml:space="preserve"> INDEX(注音編碼對照表!$E$3:$E$58, MATCH(TRUE, EXACT(表格1_33411[[#This Row],[注音編碼]], 注音編碼對照表!$D$3:$D$54), 0))</f>
        <v>ˉ</v>
      </c>
      <c r="X49" s="412" cm="1">
        <f t="array" ref="X49" xml:space="preserve"> INDEX(注音編碼對照表!$G$3:$G$58, MATCH(TRUE, EXACT(表格1_33411[[#This Row],[注音編碼]], 注音編碼對照表!$D$3:$D$54), 0))</f>
        <v>1</v>
      </c>
      <c r="Y49" s="24"/>
      <c r="Z49" s="98">
        <f t="shared" si="13"/>
        <v>47</v>
      </c>
      <c r="AA49" s="71" t="str">
        <f t="shared" si="18"/>
        <v xml:space="preserve"> </v>
      </c>
      <c r="AB49" s="379" t="str">
        <f t="shared" si="19"/>
        <v>1</v>
      </c>
      <c r="AC49" s="32" t="str">
        <f t="shared" si="20"/>
        <v>ˉ</v>
      </c>
      <c r="AD49" s="430">
        <f t="shared" si="21"/>
        <v>1</v>
      </c>
      <c r="AE49" s="2"/>
      <c r="AF49" s="421"/>
      <c r="AG49" s="2"/>
      <c r="AV49" s="11"/>
      <c r="AX49" s="2"/>
      <c r="AY49" s="443"/>
      <c r="BB49" s="2"/>
    </row>
    <row r="50" spans="2:54" ht="32.25">
      <c r="C50" s="2">
        <v>4</v>
      </c>
      <c r="D50" s="21" t="str">
        <f t="shared" si="22"/>
        <v>z</v>
      </c>
      <c r="E50" s="5" t="str">
        <f t="shared" si="23"/>
        <v/>
      </c>
      <c r="F50" s="5" t="str">
        <f t="shared" si="24"/>
        <v/>
      </c>
      <c r="G50" s="5"/>
      <c r="H50" s="2">
        <f t="shared" si="6"/>
        <v>48</v>
      </c>
      <c r="I50" s="136" t="str">
        <f t="shared" si="7"/>
        <v>2</v>
      </c>
      <c r="J50" s="136" t="str">
        <f t="shared" si="8"/>
        <v>4</v>
      </c>
      <c r="L50" s="2">
        <v>48</v>
      </c>
      <c r="M50" s="21" t="str">
        <f t="shared" si="15"/>
        <v>3</v>
      </c>
      <c r="N50" s="21" t="str">
        <f t="shared" si="10"/>
        <v>˪</v>
      </c>
      <c r="R50" s="2"/>
      <c r="T50" s="2">
        <v>48</v>
      </c>
      <c r="U50" s="409" t="str">
        <f t="shared" si="16"/>
        <v>4</v>
      </c>
      <c r="V50" s="411" t="str">
        <f t="shared" si="17"/>
        <v>2</v>
      </c>
      <c r="W50" s="410" t="str" cm="1">
        <f t="array" ref="W50" xml:space="preserve"> INDEX(注音編碼對照表!$E$3:$E$58, MATCH(TRUE, EXACT(表格1_33411[[#This Row],[注音編碼]], 注音編碼對照表!$D$3:$D$54), 0))</f>
        <v>ˋ</v>
      </c>
      <c r="X50" s="412" cm="1">
        <f t="array" ref="X50" xml:space="preserve"> INDEX(注音編碼對照表!$G$3:$G$58, MATCH(TRUE, EXACT(表格1_33411[[#This Row],[注音編碼]], 注音編碼對照表!$D$3:$D$54), 0))</f>
        <v>2</v>
      </c>
      <c r="Y50" s="24"/>
      <c r="Z50" s="98">
        <f t="shared" si="13"/>
        <v>48</v>
      </c>
      <c r="AA50" s="71" t="str">
        <f t="shared" si="18"/>
        <v>4</v>
      </c>
      <c r="AB50" s="379" t="str">
        <f t="shared" si="19"/>
        <v>2</v>
      </c>
      <c r="AC50" s="32" t="str">
        <f t="shared" si="20"/>
        <v>ˋ</v>
      </c>
      <c r="AD50" s="430">
        <f t="shared" si="21"/>
        <v>2</v>
      </c>
      <c r="AE50" s="2"/>
      <c r="AF50" s="421"/>
      <c r="AG50" s="2"/>
      <c r="AV50" s="11"/>
      <c r="AX50" s="2"/>
      <c r="AY50" s="443"/>
      <c r="BB50" s="2"/>
    </row>
    <row r="51" spans="2:54" ht="32.25">
      <c r="B51" s="92" t="s">
        <v>139</v>
      </c>
      <c r="C51" s="2">
        <v>5</v>
      </c>
      <c r="D51" s="21" t="str">
        <f t="shared" si="22"/>
        <v>2</v>
      </c>
      <c r="E51" s="5" t="str">
        <f t="shared" si="23"/>
        <v>ㄉ</v>
      </c>
      <c r="F51" s="5" t="str">
        <f t="shared" si="24"/>
        <v>t</v>
      </c>
      <c r="G51" s="5"/>
      <c r="H51" s="2">
        <f t="shared" si="6"/>
        <v>49</v>
      </c>
      <c r="I51" s="136" t="str">
        <f t="shared" si="7"/>
        <v>3</v>
      </c>
      <c r="J51" s="136" t="str">
        <f t="shared" si="8"/>
        <v>3</v>
      </c>
      <c r="L51" s="2">
        <v>49</v>
      </c>
      <c r="M51" s="21" t="str">
        <f t="shared" si="15"/>
        <v>6</v>
      </c>
      <c r="N51" s="21" t="str">
        <f t="shared" si="10"/>
        <v>ˊ</v>
      </c>
      <c r="R51" s="2"/>
      <c r="T51" s="2">
        <v>49</v>
      </c>
      <c r="U51" s="409" t="str">
        <f t="shared" si="16"/>
        <v>3</v>
      </c>
      <c r="V51" s="411" t="str">
        <f t="shared" si="17"/>
        <v>3</v>
      </c>
      <c r="W51" s="410" t="str" cm="1">
        <f t="array" ref="W51" xml:space="preserve"> INDEX(注音編碼對照表!$E$3:$E$58, MATCH(TRUE, EXACT(表格1_33411[[#This Row],[注音編碼]], 注音編碼對照表!$D$3:$D$54), 0))</f>
        <v>˪</v>
      </c>
      <c r="X51" s="412" cm="1">
        <f t="array" ref="X51" xml:space="preserve"> INDEX(注音編碼對照表!$G$3:$G$58, MATCH(TRUE, EXACT(表格1_33411[[#This Row],[注音編碼]], 注音編碼對照表!$D$3:$D$54), 0))</f>
        <v>3</v>
      </c>
      <c r="Y51" s="24"/>
      <c r="Z51" s="98">
        <f t="shared" si="13"/>
        <v>49</v>
      </c>
      <c r="AA51" s="71" t="str">
        <f t="shared" si="18"/>
        <v>3</v>
      </c>
      <c r="AB51" s="379" t="str">
        <f t="shared" si="19"/>
        <v>3</v>
      </c>
      <c r="AC51" s="32" t="str">
        <f t="shared" si="20"/>
        <v>˪</v>
      </c>
      <c r="AD51" s="430">
        <f t="shared" si="21"/>
        <v>3</v>
      </c>
      <c r="AE51" s="2"/>
      <c r="AF51" s="421"/>
      <c r="AG51" s="2"/>
      <c r="AV51" s="11"/>
      <c r="AX51" s="2"/>
      <c r="AY51" s="443"/>
      <c r="BB51" s="2"/>
    </row>
    <row r="52" spans="2:54" ht="32.25">
      <c r="B52" s="93" t="s">
        <v>137</v>
      </c>
      <c r="C52" s="2">
        <v>6</v>
      </c>
      <c r="D52" s="21" t="str">
        <f t="shared" si="22"/>
        <v>w</v>
      </c>
      <c r="E52" s="5" t="str">
        <f t="shared" si="23"/>
        <v>ㄊ</v>
      </c>
      <c r="F52" s="5" t="str">
        <f t="shared" si="24"/>
        <v>T</v>
      </c>
      <c r="G52" s="5"/>
      <c r="H52" s="2">
        <f t="shared" si="6"/>
        <v>50</v>
      </c>
      <c r="I52" s="136" t="str">
        <f t="shared" si="7"/>
        <v>5</v>
      </c>
      <c r="J52" s="136" t="str">
        <f t="shared" si="8"/>
        <v>6</v>
      </c>
      <c r="L52" s="2">
        <v>50</v>
      </c>
      <c r="M52" s="21" t="str">
        <f t="shared" si="15"/>
        <v>5</v>
      </c>
      <c r="N52" s="21" t="str">
        <f t="shared" si="10"/>
        <v>˫</v>
      </c>
      <c r="R52" s="2"/>
      <c r="T52" s="2">
        <v>50</v>
      </c>
      <c r="U52" s="409" t="str">
        <f t="shared" si="16"/>
        <v>6</v>
      </c>
      <c r="V52" s="411" t="str">
        <f t="shared" si="17"/>
        <v>5</v>
      </c>
      <c r="W52" s="410" t="str" cm="1">
        <f t="array" ref="W52" xml:space="preserve"> INDEX(注音編碼對照表!$E$3:$E$58, MATCH(TRUE, EXACT(表格1_33411[[#This Row],[注音編碼]], 注音編碼對照表!$D$3:$D$54), 0))</f>
        <v>ˊ</v>
      </c>
      <c r="X52" s="412" cm="1">
        <f t="array" ref="X52" xml:space="preserve"> INDEX(注音編碼對照表!$G$3:$G$58, MATCH(TRUE, EXACT(表格1_33411[[#This Row],[注音編碼]], 注音編碼對照表!$D$3:$D$54), 0))</f>
        <v>5</v>
      </c>
      <c r="Y52" s="24"/>
      <c r="Z52" s="98">
        <f t="shared" si="13"/>
        <v>50</v>
      </c>
      <c r="AA52" s="71" t="str">
        <f t="shared" si="18"/>
        <v>6</v>
      </c>
      <c r="AB52" s="379" t="str">
        <f t="shared" si="19"/>
        <v>5</v>
      </c>
      <c r="AC52" s="32" t="str">
        <f t="shared" si="20"/>
        <v>ˊ</v>
      </c>
      <c r="AD52" s="430">
        <f t="shared" si="21"/>
        <v>5</v>
      </c>
      <c r="AE52" s="2"/>
      <c r="AF52" s="421"/>
      <c r="AG52" s="2"/>
      <c r="AV52" s="11"/>
      <c r="AX52" s="2"/>
      <c r="AY52" s="443"/>
      <c r="BB52" s="2"/>
    </row>
    <row r="53" spans="2:54" ht="32.25">
      <c r="C53" s="2">
        <v>7</v>
      </c>
      <c r="D53" s="21" t="str">
        <f t="shared" si="22"/>
        <v>s</v>
      </c>
      <c r="E53" s="5" t="str">
        <f t="shared" si="23"/>
        <v>ㄋ</v>
      </c>
      <c r="F53" s="5" t="str">
        <f t="shared" si="24"/>
        <v>n</v>
      </c>
      <c r="G53" s="5"/>
      <c r="H53" s="2">
        <f t="shared" si="6"/>
        <v>51</v>
      </c>
      <c r="I53" s="136" t="str">
        <f t="shared" si="7"/>
        <v>7</v>
      </c>
      <c r="J53" s="136" t="str">
        <f t="shared" si="8"/>
        <v>5</v>
      </c>
      <c r="L53" s="2">
        <v>51</v>
      </c>
      <c r="M53" s="21" t="str">
        <f t="shared" si="15"/>
        <v>7</v>
      </c>
      <c r="N53" s="21" t="str">
        <f t="shared" si="10"/>
        <v>˙</v>
      </c>
      <c r="R53" s="2"/>
      <c r="T53" s="2">
        <v>51</v>
      </c>
      <c r="U53" s="409" t="str">
        <f t="shared" si="16"/>
        <v>5</v>
      </c>
      <c r="V53" s="411" t="str">
        <f t="shared" si="17"/>
        <v>7</v>
      </c>
      <c r="W53" s="410" t="str" cm="1">
        <f t="array" ref="W53" xml:space="preserve"> INDEX(注音編碼對照表!$E$3:$E$58, MATCH(TRUE, EXACT(表格1_33411[[#This Row],[注音編碼]], 注音編碼對照表!$D$3:$D$54), 0))</f>
        <v>˫</v>
      </c>
      <c r="X53" s="412" cm="1">
        <f t="array" ref="X53" xml:space="preserve"> INDEX(注音編碼對照表!$G$3:$G$58, MATCH(TRUE, EXACT(表格1_33411[[#This Row],[注音編碼]], 注音編碼對照表!$D$3:$D$54), 0))</f>
        <v>7</v>
      </c>
      <c r="Y53" s="24"/>
      <c r="Z53" s="98">
        <f t="shared" si="13"/>
        <v>51</v>
      </c>
      <c r="AA53" s="71" t="str">
        <f t="shared" si="18"/>
        <v>5</v>
      </c>
      <c r="AB53" s="379" t="str">
        <f t="shared" si="19"/>
        <v>7</v>
      </c>
      <c r="AC53" s="32" t="str">
        <f t="shared" si="20"/>
        <v>˫</v>
      </c>
      <c r="AD53" s="430">
        <f t="shared" si="21"/>
        <v>7</v>
      </c>
      <c r="AE53" s="2"/>
      <c r="AF53" s="421"/>
      <c r="AG53" s="2"/>
      <c r="AV53" s="11"/>
      <c r="AX53" s="2"/>
      <c r="AY53" s="443"/>
      <c r="BB53" s="2"/>
    </row>
    <row r="54" spans="2:54" ht="32.25">
      <c r="C54" s="2">
        <v>8</v>
      </c>
      <c r="D54" s="21" t="str">
        <f t="shared" si="22"/>
        <v>x</v>
      </c>
      <c r="E54" s="5" t="str">
        <f t="shared" si="23"/>
        <v>ㄌ</v>
      </c>
      <c r="F54" s="5" t="str">
        <f t="shared" si="24"/>
        <v>l</v>
      </c>
      <c r="G54" s="5"/>
      <c r="H54" s="2">
        <f t="shared" si="6"/>
        <v>52</v>
      </c>
      <c r="I54" s="136" t="str">
        <f t="shared" si="7"/>
        <v>0</v>
      </c>
      <c r="J54" s="136" t="str">
        <f t="shared" si="8"/>
        <v>7</v>
      </c>
      <c r="L54" s="2">
        <v>52</v>
      </c>
      <c r="M54" s="21" t="str">
        <f t="shared" si="15"/>
        <v/>
      </c>
      <c r="N54" s="21" t="str">
        <f t="shared" si="10"/>
        <v/>
      </c>
      <c r="R54" s="2"/>
      <c r="T54" s="2">
        <v>52</v>
      </c>
      <c r="U54" s="409" t="str">
        <f t="shared" si="16"/>
        <v>7</v>
      </c>
      <c r="V54" s="411" t="str">
        <f t="shared" si="17"/>
        <v>0</v>
      </c>
      <c r="W54" s="410" t="str" cm="1">
        <f t="array" ref="W54" xml:space="preserve"> INDEX(注音編碼對照表!$E$3:$E$58, MATCH(TRUE, EXACT(表格1_33411[[#This Row],[注音編碼]], 注音編碼對照表!$D$3:$D$54), 0))</f>
        <v>˙</v>
      </c>
      <c r="X54" s="412" t="str" cm="1">
        <f t="array" ref="X54" xml:space="preserve"> INDEX(注音編碼對照表!$G$3:$G$58, MATCH(TRUE, EXACT(表格1_33411[[#This Row],[注音編碼]], 注音編碼對照表!$D$3:$D$54), 0))</f>
        <v>[48]</v>
      </c>
      <c r="Y54" s="24"/>
      <c r="Z54" s="98">
        <f t="shared" si="13"/>
        <v>52</v>
      </c>
      <c r="AA54" s="71" t="str">
        <f t="shared" si="18"/>
        <v>7</v>
      </c>
      <c r="AB54" s="379" t="str">
        <f t="shared" si="19"/>
        <v>0</v>
      </c>
      <c r="AC54" s="32" t="str">
        <f t="shared" si="20"/>
        <v>˙</v>
      </c>
      <c r="AD54" s="430" t="str">
        <f t="shared" si="21"/>
        <v>[48]</v>
      </c>
      <c r="AE54" s="2"/>
      <c r="AF54" s="421"/>
      <c r="AG54" s="2"/>
      <c r="AV54" s="11"/>
      <c r="AX54" s="2"/>
      <c r="AY54" s="443"/>
      <c r="BB54" s="2"/>
    </row>
    <row r="55" spans="2:54" ht="32.25">
      <c r="C55" s="2">
        <v>9</v>
      </c>
      <c r="D55" s="21" t="str">
        <f t="shared" si="22"/>
        <v>e</v>
      </c>
      <c r="E55" s="5" t="str">
        <f t="shared" si="23"/>
        <v>ㄍ</v>
      </c>
      <c r="F55" s="5" t="str">
        <f t="shared" si="24"/>
        <v>k</v>
      </c>
      <c r="G55" s="5"/>
      <c r="I55" s="2"/>
      <c r="J55" s="2"/>
      <c r="R55" s="2"/>
      <c r="Z55" s="98">
        <f t="shared" si="13"/>
        <v>53</v>
      </c>
      <c r="AA55" s="71" t="str">
        <f xml:space="preserve"> IFERROR( INDEX(表格1_33411[鍵盤按鍵], MATCH($AC55, 表格1_33411[注音符號], 0)), "")</f>
        <v/>
      </c>
      <c r="AB55" s="379" t="str">
        <f xml:space="preserve"> IFERROR( INDEX(表格1_33411[注音編碼], MATCH($AC55, 表格1_33411[注音符號], 0)), "")</f>
        <v/>
      </c>
      <c r="AC55" s="32" t="s">
        <v>128</v>
      </c>
      <c r="AD55" s="433" t="s">
        <v>643</v>
      </c>
      <c r="AE55" s="2"/>
      <c r="AF55" s="421"/>
      <c r="AG55" s="2"/>
      <c r="AV55" s="11"/>
      <c r="AX55" s="2"/>
      <c r="AY55" s="443"/>
      <c r="BB55" s="2"/>
    </row>
    <row r="56" spans="2:54" ht="32.25">
      <c r="C56" s="2">
        <v>10</v>
      </c>
      <c r="D56" s="21" t="str">
        <f t="shared" si="22"/>
        <v>d</v>
      </c>
      <c r="E56" s="5" t="str">
        <f t="shared" si="23"/>
        <v>ㄎ</v>
      </c>
      <c r="F56" s="5" t="str">
        <f t="shared" si="24"/>
        <v>K</v>
      </c>
      <c r="G56" s="5"/>
      <c r="I56" s="2"/>
      <c r="J56" s="2"/>
      <c r="R56" s="2"/>
      <c r="Z56" s="98">
        <f t="shared" si="13"/>
        <v>54</v>
      </c>
      <c r="AA56" s="71" t="str">
        <f xml:space="preserve"> IFERROR( INDEX(表格1_33411[鍵盤按鍵], MATCH($AC56, 表格1_33411[注音符號], 0)), "")</f>
        <v/>
      </c>
      <c r="AB56" s="379" t="str">
        <f xml:space="preserve"> IFERROR( INDEX(表格1_33411[注音編碼], MATCH($AC56, 表格1_33411[注音符號], 0)), "")</f>
        <v/>
      </c>
      <c r="AC56" s="32" t="s">
        <v>130</v>
      </c>
      <c r="AD56" s="433" t="s">
        <v>644</v>
      </c>
      <c r="AE56" s="2"/>
      <c r="AF56" s="421"/>
      <c r="AG56" s="2"/>
      <c r="AV56" s="11"/>
      <c r="AX56" s="2"/>
      <c r="AY56" s="443"/>
      <c r="BB56" s="2"/>
    </row>
    <row r="57" spans="2:54" ht="32.25">
      <c r="C57" s="2">
        <v>11</v>
      </c>
      <c r="D57" s="21" t="str">
        <f t="shared" si="22"/>
        <v>c</v>
      </c>
      <c r="E57" s="5" t="str">
        <f t="shared" si="23"/>
        <v>ㄏ</v>
      </c>
      <c r="F57" s="5" t="str">
        <f t="shared" si="24"/>
        <v>h</v>
      </c>
      <c r="G57" s="5"/>
      <c r="I57" s="2"/>
      <c r="J57" s="2"/>
      <c r="R57" s="2"/>
      <c r="U57" s="450" t="s">
        <v>11</v>
      </c>
      <c r="V57" s="451" t="s">
        <v>642</v>
      </c>
      <c r="W57" s="451" t="s">
        <v>641</v>
      </c>
      <c r="X57" s="452" t="s">
        <v>383</v>
      </c>
      <c r="Y57" s="24"/>
      <c r="Z57" s="98">
        <f t="shared" si="13"/>
        <v>55</v>
      </c>
      <c r="AA57" s="71" t="str">
        <f xml:space="preserve"> IFERROR( INDEX(表格1_33411[鍵盤按鍵], MATCH($AC57, 表格1_33411[注音符號], 0)), "")</f>
        <v/>
      </c>
      <c r="AB57" s="379" t="str">
        <f xml:space="preserve"> IFERROR( INDEX(表格1_33411[注音編碼], MATCH($AC57, 表格1_33411[注音符號], 0)), "")</f>
        <v/>
      </c>
      <c r="AC57" s="32" t="s">
        <v>132</v>
      </c>
      <c r="AD57" s="433" t="s">
        <v>645</v>
      </c>
      <c r="AE57" s="2"/>
      <c r="AF57" s="421"/>
      <c r="AG57" s="2"/>
      <c r="AV57" s="11"/>
      <c r="AX57" s="2"/>
      <c r="AY57" s="443"/>
      <c r="BB57" s="2"/>
    </row>
    <row r="58" spans="2:54" ht="32.25">
      <c r="C58" s="2">
        <v>12</v>
      </c>
      <c r="D58" s="21" t="str">
        <f t="shared" si="22"/>
        <v>r</v>
      </c>
      <c r="E58" s="5" t="str">
        <f t="shared" si="23"/>
        <v/>
      </c>
      <c r="F58" s="5" t="str">
        <f t="shared" si="24"/>
        <v/>
      </c>
      <c r="G58" s="5"/>
      <c r="I58" s="2"/>
      <c r="J58" s="2"/>
      <c r="R58" s="2"/>
      <c r="U58" s="453" t="s">
        <v>267</v>
      </c>
      <c r="V58" s="411" t="s">
        <v>621</v>
      </c>
      <c r="W58" s="410" t="s">
        <v>125</v>
      </c>
      <c r="X58" s="454" t="s">
        <v>203</v>
      </c>
      <c r="Y58" s="24"/>
      <c r="Z58" s="98">
        <f t="shared" si="13"/>
        <v>56</v>
      </c>
      <c r="AA58" s="71" t="str">
        <f xml:space="preserve"> IFERROR( INDEX(表格1_33411[鍵盤按鍵], MATCH($AC58, 表格1_33411[注音符號], 0)), "")</f>
        <v/>
      </c>
      <c r="AB58" s="379" t="str">
        <f xml:space="preserve"> IFERROR( INDEX(表格1_33411[注音編碼], MATCH($AC58, 表格1_33411[注音符號], 0)), "")</f>
        <v/>
      </c>
      <c r="AC58" s="32" t="s">
        <v>134</v>
      </c>
      <c r="AD58" s="433" t="s">
        <v>646</v>
      </c>
      <c r="AE58" s="2"/>
      <c r="AF58" s="421"/>
      <c r="AG58" s="2"/>
      <c r="AV58" s="11"/>
      <c r="AX58" s="2"/>
      <c r="AY58" s="443"/>
      <c r="BB58" s="2"/>
    </row>
    <row r="59" spans="2:54">
      <c r="C59" s="2">
        <v>13</v>
      </c>
      <c r="D59" s="21" t="str">
        <f t="shared" si="22"/>
        <v>f</v>
      </c>
      <c r="E59" s="5" t="str">
        <f t="shared" si="23"/>
        <v/>
      </c>
      <c r="F59" s="5" t="str">
        <f t="shared" si="24"/>
        <v/>
      </c>
      <c r="G59" s="5"/>
      <c r="I59" s="2"/>
      <c r="J59" s="2"/>
      <c r="R59" s="2"/>
      <c r="U59" s="455" t="s">
        <v>612</v>
      </c>
      <c r="V59" s="411" t="s">
        <v>622</v>
      </c>
      <c r="W59" s="410" t="s">
        <v>99</v>
      </c>
      <c r="X59" s="456" t="s">
        <v>207</v>
      </c>
      <c r="Y59" s="24"/>
      <c r="Z59" s="2"/>
      <c r="AA59" s="421"/>
      <c r="AD59" s="407"/>
      <c r="AE59" s="2"/>
      <c r="AF59" s="421"/>
      <c r="AG59" s="2"/>
      <c r="AV59" s="11"/>
      <c r="AX59" s="2"/>
      <c r="AY59" s="443"/>
      <c r="BB59" s="2"/>
    </row>
    <row r="60" spans="2:54">
      <c r="C60" s="2">
        <v>14</v>
      </c>
      <c r="D60" s="21" t="str">
        <f t="shared" si="22"/>
        <v>v</v>
      </c>
      <c r="E60" s="5" t="str">
        <f t="shared" si="23"/>
        <v/>
      </c>
      <c r="F60" s="5" t="str">
        <f t="shared" si="24"/>
        <v/>
      </c>
      <c r="G60" s="5"/>
      <c r="I60" s="2"/>
      <c r="J60" s="2"/>
      <c r="R60" s="2"/>
      <c r="U60" s="453" t="s">
        <v>206</v>
      </c>
      <c r="V60" s="411" t="s">
        <v>619</v>
      </c>
      <c r="W60" s="410" t="s">
        <v>101</v>
      </c>
      <c r="X60" s="454" t="s">
        <v>160</v>
      </c>
      <c r="Y60" s="24"/>
      <c r="Z60" s="2"/>
      <c r="AA60" s="428"/>
      <c r="AC60" s="428"/>
      <c r="AD60" s="429" t="s">
        <v>647</v>
      </c>
      <c r="AE60" s="2"/>
      <c r="AF60" s="421"/>
      <c r="AG60" s="2"/>
      <c r="AV60" s="11"/>
      <c r="AX60" s="2"/>
      <c r="AY60" s="443"/>
      <c r="BB60" s="2"/>
    </row>
    <row r="61" spans="2:54">
      <c r="C61" s="2">
        <v>15</v>
      </c>
      <c r="D61" s="21" t="str">
        <f t="shared" si="22"/>
        <v>t</v>
      </c>
      <c r="E61" s="5" t="str">
        <f t="shared" si="23"/>
        <v/>
      </c>
      <c r="F61" s="5" t="str">
        <f t="shared" si="24"/>
        <v/>
      </c>
      <c r="G61" s="5"/>
      <c r="I61" s="2"/>
      <c r="J61" s="2"/>
      <c r="R61" s="2"/>
      <c r="X61" s="407"/>
      <c r="Y61" s="24"/>
      <c r="Z61" s="2"/>
      <c r="AA61" s="421"/>
      <c r="AD61" s="407"/>
      <c r="AE61" s="2"/>
      <c r="AF61" s="449" t="s">
        <v>652</v>
      </c>
      <c r="AG61" s="2"/>
      <c r="AV61" s="11"/>
      <c r="AX61" s="2"/>
      <c r="AY61" s="443"/>
      <c r="BB61" s="2"/>
    </row>
    <row r="62" spans="2:54">
      <c r="C62" s="2">
        <v>16</v>
      </c>
      <c r="D62" s="21" t="str">
        <f t="shared" si="22"/>
        <v>g</v>
      </c>
      <c r="E62" s="5" t="str">
        <f t="shared" si="23"/>
        <v/>
      </c>
      <c r="F62" s="5" t="str">
        <f t="shared" si="24"/>
        <v/>
      </c>
      <c r="G62" s="5"/>
      <c r="I62" s="2"/>
      <c r="J62" s="2"/>
      <c r="R62" s="2"/>
      <c r="AW62" s="11"/>
      <c r="AX62" s="2"/>
    </row>
    <row r="63" spans="2:54">
      <c r="C63" s="2">
        <v>17</v>
      </c>
      <c r="D63" s="21" t="str">
        <f t="shared" si="22"/>
        <v>b</v>
      </c>
      <c r="E63" s="5" t="str">
        <f t="shared" si="23"/>
        <v>ㆡ</v>
      </c>
      <c r="F63" s="5" t="str">
        <f t="shared" si="24"/>
        <v>j</v>
      </c>
      <c r="G63" s="5"/>
      <c r="I63" s="2"/>
      <c r="J63" s="2"/>
      <c r="R63" s="2"/>
      <c r="AW63" s="11"/>
      <c r="AX63" s="2"/>
    </row>
    <row r="64" spans="2:54">
      <c r="C64" s="2">
        <v>18</v>
      </c>
      <c r="D64" s="21" t="str">
        <f t="shared" si="22"/>
        <v>y</v>
      </c>
      <c r="E64" s="5" t="str">
        <f t="shared" si="23"/>
        <v>ㄗ</v>
      </c>
      <c r="F64" s="5" t="str">
        <f t="shared" si="24"/>
        <v>z</v>
      </c>
      <c r="G64" s="5"/>
      <c r="I64" s="2"/>
      <c r="J64" s="2"/>
      <c r="R64" s="2"/>
      <c r="AW64" s="11"/>
      <c r="AX64" s="2"/>
    </row>
    <row r="65" spans="3:50">
      <c r="C65" s="2">
        <v>19</v>
      </c>
      <c r="D65" s="21" t="str">
        <f t="shared" si="22"/>
        <v>h</v>
      </c>
      <c r="E65" s="5" t="str">
        <f t="shared" si="23"/>
        <v>ㄘ</v>
      </c>
      <c r="F65" s="5" t="str">
        <f t="shared" si="24"/>
        <v>c</v>
      </c>
      <c r="G65" s="5"/>
      <c r="I65" s="2"/>
      <c r="J65" s="2"/>
      <c r="R65" s="2"/>
      <c r="AW65" s="11"/>
      <c r="AX65" s="2"/>
    </row>
    <row r="66" spans="3:50">
      <c r="C66" s="2">
        <v>20</v>
      </c>
      <c r="D66" s="21" t="str">
        <f t="shared" si="22"/>
        <v>n</v>
      </c>
      <c r="E66" s="5" t="str">
        <f t="shared" si="23"/>
        <v>ㄙ</v>
      </c>
      <c r="F66" s="5" t="str">
        <f t="shared" si="24"/>
        <v>s</v>
      </c>
      <c r="G66" s="5"/>
      <c r="I66" s="2"/>
      <c r="J66" s="2"/>
      <c r="R66" s="2"/>
      <c r="AW66" s="11"/>
      <c r="AX66" s="2"/>
    </row>
    <row r="67" spans="3:50">
      <c r="C67" s="2">
        <v>21</v>
      </c>
      <c r="D67" s="21" t="str">
        <f t="shared" si="22"/>
        <v>u</v>
      </c>
      <c r="E67" s="5" t="str">
        <f t="shared" si="23"/>
        <v>ㄧ</v>
      </c>
      <c r="F67" s="5" t="str">
        <f t="shared" si="24"/>
        <v>i</v>
      </c>
      <c r="G67" s="5"/>
      <c r="I67" s="2"/>
      <c r="J67" s="2"/>
      <c r="R67" s="2"/>
      <c r="AW67" s="11"/>
      <c r="AX67" s="2"/>
    </row>
    <row r="68" spans="3:50">
      <c r="C68" s="2">
        <v>22</v>
      </c>
      <c r="D68" s="21" t="str">
        <f t="shared" si="22"/>
        <v>j</v>
      </c>
      <c r="E68" s="5" t="str">
        <f t="shared" si="23"/>
        <v>ㄨ</v>
      </c>
      <c r="F68" s="5" t="str">
        <f t="shared" si="24"/>
        <v>u</v>
      </c>
      <c r="G68" s="5"/>
      <c r="I68" s="2"/>
      <c r="J68" s="2"/>
      <c r="R68" s="2"/>
      <c r="AW68" s="11"/>
      <c r="AX68" s="2"/>
    </row>
    <row r="69" spans="3:50">
      <c r="C69" s="2">
        <v>23</v>
      </c>
      <c r="D69" s="21" t="str">
        <f t="shared" si="22"/>
        <v>m</v>
      </c>
      <c r="E69" s="5" t="str">
        <f t="shared" si="23"/>
        <v>ㆬ</v>
      </c>
      <c r="F69" s="5" t="str">
        <f t="shared" si="24"/>
        <v>M</v>
      </c>
      <c r="G69" s="5"/>
      <c r="I69" s="2"/>
      <c r="J69" s="2"/>
      <c r="R69" s="2"/>
      <c r="AW69" s="11"/>
      <c r="AX69" s="2"/>
    </row>
    <row r="70" spans="3:50">
      <c r="C70" s="2">
        <v>24</v>
      </c>
      <c r="D70" s="21" t="str">
        <f t="shared" si="22"/>
        <v>8</v>
      </c>
      <c r="E70" s="5" t="str">
        <f t="shared" si="23"/>
        <v>ㄚ</v>
      </c>
      <c r="F70" s="5" t="str">
        <f t="shared" si="24"/>
        <v>a</v>
      </c>
      <c r="G70" s="5"/>
      <c r="I70" s="2"/>
      <c r="J70" s="2"/>
      <c r="R70" s="2"/>
      <c r="AW70" s="11"/>
      <c r="AX70" s="2"/>
    </row>
    <row r="71" spans="3:50">
      <c r="C71" s="2">
        <v>25</v>
      </c>
      <c r="D71" s="21" t="str">
        <f t="shared" si="22"/>
        <v>i</v>
      </c>
      <c r="E71" s="5" t="str">
        <f t="shared" si="23"/>
        <v>ㆦ</v>
      </c>
      <c r="F71" s="5" t="str">
        <f t="shared" si="24"/>
        <v>O</v>
      </c>
      <c r="G71" s="5"/>
      <c r="I71" s="2"/>
      <c r="J71" s="2"/>
      <c r="R71" s="2"/>
      <c r="AW71" s="11"/>
      <c r="AX71" s="2"/>
    </row>
    <row r="72" spans="3:50">
      <c r="C72" s="2">
        <v>26</v>
      </c>
      <c r="D72" s="21" t="str">
        <f t="shared" si="22"/>
        <v>k</v>
      </c>
      <c r="E72" s="5" t="str">
        <f t="shared" si="23"/>
        <v>ㄜ</v>
      </c>
      <c r="F72" s="5" t="str">
        <f t="shared" si="24"/>
        <v>o</v>
      </c>
      <c r="G72" s="5"/>
      <c r="I72" s="2"/>
      <c r="J72" s="2"/>
      <c r="R72" s="2"/>
      <c r="AW72" s="11"/>
      <c r="AX72" s="2"/>
    </row>
    <row r="73" spans="3:50">
      <c r="C73" s="2">
        <v>27</v>
      </c>
      <c r="D73" s="21" t="str">
        <f t="shared" si="22"/>
        <v>,</v>
      </c>
      <c r="E73" s="5" t="str">
        <f t="shared" si="23"/>
        <v>ㆤ</v>
      </c>
      <c r="F73" s="5" t="str">
        <f t="shared" si="24"/>
        <v>e</v>
      </c>
      <c r="G73" s="5"/>
      <c r="I73" s="2"/>
      <c r="J73" s="2"/>
      <c r="R73" s="2"/>
      <c r="AW73" s="11"/>
      <c r="AX73" s="2"/>
    </row>
    <row r="74" spans="3:50">
      <c r="C74" s="2">
        <v>28</v>
      </c>
      <c r="D74" s="21" t="str">
        <f t="shared" si="22"/>
        <v>9</v>
      </c>
      <c r="E74" s="5" t="str">
        <f t="shared" si="23"/>
        <v>ㄞ</v>
      </c>
      <c r="F74" s="5" t="str">
        <f t="shared" si="24"/>
        <v>y</v>
      </c>
      <c r="G74" s="5"/>
      <c r="I74" s="2"/>
      <c r="J74" s="2"/>
      <c r="R74" s="2"/>
      <c r="AW74" s="11"/>
      <c r="AX74" s="2"/>
    </row>
    <row r="75" spans="3:50">
      <c r="C75" s="2">
        <v>29</v>
      </c>
      <c r="D75" s="21" t="str">
        <f t="shared" si="22"/>
        <v>o</v>
      </c>
      <c r="E75" s="5" t="str">
        <f t="shared" si="23"/>
        <v>ㆱ</v>
      </c>
      <c r="F75" s="5" t="str">
        <f t="shared" si="24"/>
        <v>D</v>
      </c>
      <c r="G75" s="5"/>
      <c r="I75" s="2"/>
      <c r="J75" s="2"/>
      <c r="R75" s="2"/>
      <c r="AW75" s="11"/>
      <c r="AX75" s="2"/>
    </row>
    <row r="76" spans="3:50">
      <c r="C76" s="2">
        <v>30</v>
      </c>
      <c r="D76" s="21" t="str">
        <f t="shared" si="22"/>
        <v>l</v>
      </c>
      <c r="E76" s="5" t="str">
        <f t="shared" si="23"/>
        <v>ㄠ</v>
      </c>
      <c r="F76" s="5" t="str">
        <f t="shared" si="24"/>
        <v>x</v>
      </c>
      <c r="G76" s="5"/>
      <c r="I76" s="2"/>
      <c r="J76" s="2"/>
      <c r="R76" s="2"/>
      <c r="AW76" s="11"/>
      <c r="AX76" s="2"/>
    </row>
    <row r="77" spans="3:50">
      <c r="C77" s="2">
        <v>31</v>
      </c>
      <c r="D77" s="21" t="str">
        <f t="shared" si="22"/>
        <v>.</v>
      </c>
      <c r="E77" s="5" t="str">
        <f t="shared" si="23"/>
        <v>ｎ</v>
      </c>
      <c r="F77" s="5" t="str">
        <f t="shared" si="24"/>
        <v>B</v>
      </c>
      <c r="G77" s="5"/>
      <c r="I77" s="2"/>
      <c r="J77" s="2"/>
      <c r="R77" s="2"/>
      <c r="AW77" s="11"/>
      <c r="AX77" s="2"/>
    </row>
    <row r="78" spans="3:50">
      <c r="C78" s="2">
        <v>32</v>
      </c>
      <c r="D78" s="21" t="str">
        <f t="shared" si="22"/>
        <v>0</v>
      </c>
      <c r="E78" s="5" t="str">
        <f t="shared" si="23"/>
        <v>ㄢ</v>
      </c>
      <c r="F78" s="5" t="str">
        <f t="shared" si="24"/>
        <v>@</v>
      </c>
      <c r="G78" s="5"/>
      <c r="I78" s="2"/>
      <c r="J78" s="2"/>
      <c r="R78" s="2"/>
      <c r="AW78" s="11"/>
      <c r="AX78" s="2"/>
    </row>
    <row r="79" spans="3:50">
      <c r="C79" s="2">
        <v>33</v>
      </c>
      <c r="D79" s="21" t="str">
        <f t="shared" si="22"/>
        <v>p</v>
      </c>
      <c r="E79" s="5" t="str">
        <f t="shared" si="23"/>
        <v>ㄣ</v>
      </c>
      <c r="F79" s="5" t="str">
        <f t="shared" si="24"/>
        <v>N</v>
      </c>
      <c r="G79" s="5"/>
      <c r="I79" s="2"/>
      <c r="J79" s="2"/>
      <c r="R79" s="2"/>
      <c r="AW79" s="11"/>
      <c r="AX79" s="2"/>
    </row>
    <row r="80" spans="3:50">
      <c r="C80" s="2">
        <v>34</v>
      </c>
      <c r="D80" s="21" t="str">
        <f t="shared" si="22"/>
        <v>;</v>
      </c>
      <c r="E80" s="5" t="str">
        <f t="shared" si="23"/>
        <v>ㄤ</v>
      </c>
      <c r="F80" s="5" t="str">
        <f t="shared" si="24"/>
        <v>G</v>
      </c>
      <c r="G80" s="5"/>
      <c r="I80" s="2"/>
      <c r="J80" s="2"/>
      <c r="R80" s="2"/>
      <c r="AW80" s="11"/>
      <c r="AX80" s="2"/>
    </row>
    <row r="81" spans="3:50">
      <c r="C81" s="2">
        <v>35</v>
      </c>
      <c r="D81" s="21" t="str">
        <f t="shared" si="22"/>
        <v>/</v>
      </c>
      <c r="E81" s="5" t="str">
        <f t="shared" si="23"/>
        <v>ㆭ</v>
      </c>
      <c r="F81" s="5" t="str">
        <f t="shared" si="24"/>
        <v>W</v>
      </c>
      <c r="G81" s="5"/>
      <c r="I81" s="2"/>
      <c r="J81" s="2"/>
      <c r="R81" s="2"/>
      <c r="AW81" s="11"/>
      <c r="AX81" s="2"/>
    </row>
    <row r="82" spans="3:50">
      <c r="C82" s="2">
        <v>36</v>
      </c>
      <c r="D82" s="21" t="str">
        <f t="shared" si="22"/>
        <v>-</v>
      </c>
      <c r="E82" s="5" t="str">
        <f t="shared" si="23"/>
        <v>ㆨ</v>
      </c>
      <c r="F82" s="5" t="str">
        <f t="shared" si="24"/>
        <v>R</v>
      </c>
      <c r="G82" s="5"/>
      <c r="I82" s="2"/>
      <c r="J82" s="2"/>
      <c r="R82" s="2"/>
      <c r="AW82" s="11"/>
      <c r="AX82" s="2"/>
    </row>
    <row r="83" spans="3:50">
      <c r="C83" s="2">
        <v>37</v>
      </c>
      <c r="D83" s="21" t="str">
        <f t="shared" si="22"/>
        <v xml:space="preserve"> </v>
      </c>
      <c r="E83" s="5" t="str">
        <f t="shared" si="23"/>
        <v/>
      </c>
      <c r="F83" s="5" t="str">
        <f t="shared" si="24"/>
        <v/>
      </c>
      <c r="G83" s="5"/>
      <c r="I83" s="2"/>
      <c r="J83" s="2"/>
      <c r="R83" s="2"/>
      <c r="AW83" s="11"/>
      <c r="AX83" s="2"/>
    </row>
    <row r="84" spans="3:50">
      <c r="C84" s="2">
        <v>38</v>
      </c>
      <c r="D84" s="21" t="str">
        <f t="shared" si="22"/>
        <v>4</v>
      </c>
      <c r="E84" s="5" t="str">
        <f t="shared" si="23"/>
        <v/>
      </c>
      <c r="F84" s="5" t="str">
        <f t="shared" si="24"/>
        <v/>
      </c>
      <c r="G84" s="5"/>
      <c r="I84" s="2"/>
      <c r="J84" s="2"/>
      <c r="R84" s="2"/>
      <c r="AW84" s="11"/>
      <c r="AX84" s="2"/>
    </row>
    <row r="85" spans="3:50">
      <c r="C85" s="2">
        <v>39</v>
      </c>
      <c r="D85" s="21" t="str">
        <f t="shared" si="22"/>
        <v>3</v>
      </c>
      <c r="E85" s="5" t="str">
        <f t="shared" si="23"/>
        <v/>
      </c>
      <c r="F85" s="5" t="str">
        <f t="shared" si="24"/>
        <v/>
      </c>
      <c r="G85" s="5"/>
      <c r="I85" s="2"/>
      <c r="J85" s="2"/>
      <c r="R85" s="2"/>
      <c r="AW85" s="11"/>
      <c r="AX85" s="2"/>
    </row>
    <row r="86" spans="3:50">
      <c r="C86" s="2">
        <v>40</v>
      </c>
      <c r="D86" s="21" t="str">
        <f t="shared" si="22"/>
        <v>6</v>
      </c>
      <c r="E86" s="5" t="str">
        <f t="shared" si="23"/>
        <v/>
      </c>
      <c r="F86" s="5" t="str">
        <f t="shared" si="24"/>
        <v/>
      </c>
      <c r="G86" s="5"/>
      <c r="I86" s="2"/>
      <c r="J86" s="2"/>
      <c r="R86" s="2"/>
      <c r="AW86" s="11"/>
      <c r="AX86" s="2"/>
    </row>
    <row r="87" spans="3:50">
      <c r="C87" s="2">
        <v>41</v>
      </c>
      <c r="D87" s="21" t="str">
        <f t="shared" si="22"/>
        <v>5</v>
      </c>
      <c r="E87" s="5" t="str">
        <f t="shared" si="23"/>
        <v/>
      </c>
      <c r="F87" s="5" t="str">
        <f t="shared" si="24"/>
        <v/>
      </c>
      <c r="G87" s="5"/>
      <c r="I87" s="2"/>
      <c r="J87" s="2"/>
      <c r="R87" s="2"/>
      <c r="AW87" s="11"/>
      <c r="AX87" s="2"/>
    </row>
    <row r="88" spans="3:50">
      <c r="C88" s="2">
        <v>42</v>
      </c>
      <c r="D88" s="21" t="str">
        <f t="shared" si="22"/>
        <v>7</v>
      </c>
      <c r="E88" s="5" t="str">
        <f t="shared" si="23"/>
        <v/>
      </c>
      <c r="F88" s="5" t="str">
        <f t="shared" si="24"/>
        <v/>
      </c>
      <c r="G88" s="5"/>
      <c r="I88" s="2"/>
      <c r="J88" s="2"/>
      <c r="L88" s="4"/>
      <c r="M88" s="3"/>
      <c r="N88" s="2"/>
      <c r="Q88" s="5"/>
      <c r="R88" s="2"/>
      <c r="AW88" s="11"/>
      <c r="AX88" s="2"/>
    </row>
    <row r="89" spans="3:50">
      <c r="I89" s="2"/>
      <c r="J89" s="2"/>
      <c r="L89" s="4"/>
      <c r="M89" s="3"/>
      <c r="N89" s="2"/>
      <c r="Q89" s="5"/>
      <c r="R89" s="2"/>
      <c r="AW89" s="11"/>
      <c r="AX89" s="2"/>
    </row>
    <row r="90" spans="3:50">
      <c r="I90" s="2"/>
      <c r="J90" s="2"/>
      <c r="L90" s="4"/>
      <c r="M90" s="3"/>
      <c r="N90" s="2"/>
      <c r="Q90" s="5"/>
      <c r="R90" s="2"/>
      <c r="AW90" s="11"/>
      <c r="AX90" s="2"/>
    </row>
    <row r="91" spans="3:50">
      <c r="I91" s="2"/>
      <c r="J91" s="2"/>
      <c r="L91" s="4"/>
      <c r="M91" s="3"/>
      <c r="N91" s="2"/>
      <c r="Q91" s="5"/>
      <c r="R91" s="2"/>
      <c r="AW91" s="11"/>
      <c r="AX91" s="2"/>
    </row>
    <row r="92" spans="3:50">
      <c r="I92" s="2"/>
      <c r="J92" s="2"/>
      <c r="L92" s="4"/>
      <c r="M92" s="3"/>
      <c r="N92" s="2"/>
      <c r="Q92" s="5"/>
      <c r="R92" s="2"/>
      <c r="AW92" s="11"/>
      <c r="AX92" s="2"/>
    </row>
    <row r="93" spans="3:50">
      <c r="I93" s="2"/>
      <c r="J93" s="2"/>
      <c r="L93" s="4"/>
      <c r="M93" s="3"/>
      <c r="N93" s="2"/>
      <c r="Q93" s="5"/>
      <c r="R93" s="2"/>
      <c r="AW93" s="11"/>
      <c r="AX93" s="2"/>
    </row>
    <row r="94" spans="3:50">
      <c r="I94" s="2"/>
      <c r="J94" s="2"/>
      <c r="L94" s="4"/>
      <c r="M94" s="3"/>
      <c r="N94" s="2"/>
      <c r="Q94" s="5"/>
      <c r="R94" s="2"/>
      <c r="AW94" s="11"/>
      <c r="AX94" s="2"/>
    </row>
    <row r="95" spans="3:50">
      <c r="I95" s="2"/>
      <c r="J95" s="2"/>
      <c r="AW95" s="11"/>
      <c r="AX95" s="2"/>
    </row>
    <row r="96" spans="3:50">
      <c r="I96" s="2"/>
      <c r="J96" s="2"/>
      <c r="AW96" s="11"/>
      <c r="AX96" s="2"/>
    </row>
    <row r="97" spans="9:50">
      <c r="I97" s="2"/>
      <c r="J97" s="2"/>
      <c r="AW97" s="11"/>
      <c r="AX97" s="2"/>
    </row>
    <row r="98" spans="9:50">
      <c r="I98" s="2"/>
      <c r="J98" s="2"/>
      <c r="AW98" s="11"/>
      <c r="AX98" s="2"/>
    </row>
    <row r="99" spans="9:50">
      <c r="AW99" s="11"/>
      <c r="AX99" s="2"/>
    </row>
  </sheetData>
  <phoneticPr fontId="9" type="noConversion"/>
  <conditionalFormatting sqref="AA3:AB58">
    <cfRule type="cellIs" dxfId="2" priority="1" operator="equal">
      <formula>CHAR(32)</formula>
    </cfRule>
  </conditionalFormatting>
  <hyperlinks>
    <hyperlink ref="B2" r:id="rId1" xr:uid="{A4E65CE5-5E82-4163-996C-94971B67EFB8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D5FA8-BD44-4B3C-8152-F8DC02F9E201}">
  <sheetPr>
    <tabColor rgb="FFFF0000"/>
  </sheetPr>
  <dimension ref="B1:CX99"/>
  <sheetViews>
    <sheetView topLeftCell="C1" zoomScaleNormal="100" workbookViewId="0">
      <pane ySplit="2" topLeftCell="A39" activePane="bottomLeft" state="frozen"/>
      <selection activeCell="W1" sqref="W1"/>
      <selection pane="bottomLeft" activeCell="X4" sqref="X4"/>
    </sheetView>
  </sheetViews>
  <sheetFormatPr defaultRowHeight="30" outlineLevelCol="1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/>
    <col min="13" max="13" width="10.09765625" style="4" customWidth="1"/>
    <col min="14" max="14" width="10.09765625" style="3" customWidth="1"/>
    <col min="15" max="15" width="5.09765625" style="2" hidden="1" customWidth="1" outlineLevel="1"/>
    <col min="16" max="16" width="4.69921875" style="2" hidden="1" customWidth="1" outlineLevel="1"/>
    <col min="17" max="17" width="10.09765625" style="2" hidden="1" customWidth="1" outlineLevel="1"/>
    <col min="18" max="18" width="10.09765625" style="5" hidden="1" customWidth="1" outlineLevel="1"/>
    <col min="19" max="19" width="8.796875" style="2" collapsed="1"/>
    <col min="20" max="20" width="4.69921875" style="2" customWidth="1"/>
    <col min="21" max="21" width="9.796875" style="2" customWidth="1"/>
    <col min="23" max="24" width="9.796875" style="2" customWidth="1"/>
    <col min="25" max="25" width="9.796875" style="407" customWidth="1"/>
    <col min="27" max="27" width="6.3984375" style="2" customWidth="1"/>
    <col min="28" max="30" width="10.59765625" style="421" customWidth="1"/>
    <col min="31" max="31" width="10.59765625" style="407" customWidth="1"/>
    <col min="32" max="32" width="11.69921875" style="2" customWidth="1"/>
    <col min="33" max="33" width="13.5" style="421" customWidth="1"/>
    <col min="34" max="34" width="4.296875" style="2" customWidth="1"/>
    <col min="35" max="35" width="5.5" style="2" customWidth="1"/>
    <col min="36" max="49" width="8.796875" style="2"/>
    <col min="50" max="50" width="8.796875" style="11"/>
    <col min="51" max="51" width="8.796875" style="2"/>
    <col min="52" max="54" width="3.69921875" style="443" customWidth="1"/>
    <col min="55" max="103" width="3.69921875" style="2" customWidth="1"/>
    <col min="104" max="16384" width="8.796875" style="2"/>
  </cols>
  <sheetData>
    <row r="1" spans="2:102" ht="32.25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V1" s="2"/>
      <c r="X1" s="407"/>
      <c r="Y1" s="2"/>
      <c r="Z1" s="7" t="s">
        <v>5</v>
      </c>
      <c r="AA1" s="139"/>
      <c r="AB1" s="8"/>
      <c r="AC1" s="139"/>
      <c r="AD1" s="138"/>
      <c r="AE1" s="2"/>
      <c r="AF1" s="421"/>
      <c r="AG1" s="2"/>
      <c r="AV1" s="11"/>
      <c r="AX1" s="2"/>
      <c r="AY1" s="443"/>
      <c r="BB1" s="2"/>
    </row>
    <row r="2" spans="2:102" ht="26.25" thickBot="1">
      <c r="B2" s="491" t="s">
        <v>668</v>
      </c>
      <c r="I2" s="13" t="s">
        <v>585</v>
      </c>
      <c r="J2" s="14" t="s">
        <v>8</v>
      </c>
      <c r="M2" s="13" t="s">
        <v>8</v>
      </c>
      <c r="N2" s="14" t="s">
        <v>385</v>
      </c>
      <c r="Q2" s="13" t="s">
        <v>7</v>
      </c>
      <c r="R2" s="14" t="s">
        <v>640</v>
      </c>
      <c r="U2" s="420" t="s">
        <v>11</v>
      </c>
      <c r="V2" s="420" t="s">
        <v>642</v>
      </c>
      <c r="W2" s="420" t="s">
        <v>641</v>
      </c>
      <c r="X2" s="420" t="s">
        <v>383</v>
      </c>
      <c r="Y2" s="420"/>
      <c r="Z2" s="419" t="s">
        <v>14</v>
      </c>
      <c r="AA2" s="396" t="s">
        <v>19</v>
      </c>
      <c r="AB2" s="397" t="s">
        <v>15</v>
      </c>
      <c r="AC2" s="398" t="s">
        <v>585</v>
      </c>
      <c r="AD2" s="399" t="s">
        <v>16</v>
      </c>
      <c r="AE2" s="2"/>
      <c r="AF2" s="421"/>
      <c r="AG2" s="2"/>
      <c r="AV2" s="11"/>
      <c r="AX2" s="2"/>
      <c r="AY2" s="443"/>
      <c r="BB2" s="2"/>
    </row>
    <row r="3" spans="2:102" ht="33" thickTop="1">
      <c r="B3" s="2">
        <f xml:space="preserve"> SEARCH("|",$B$2,1)</f>
        <v>5</v>
      </c>
      <c r="H3" s="2">
        <f xml:space="preserve"> ROW() - 2</f>
        <v>1</v>
      </c>
      <c r="I3" s="136" t="str">
        <f xml:space="preserve"> IFERROR( MID($B$6, $H3, 1), "")</f>
        <v>p</v>
      </c>
      <c r="J3" s="136" t="str">
        <f xml:space="preserve"> IFERROR( MID($B$7, $H3, 1), "")</f>
        <v>1</v>
      </c>
      <c r="L3" s="2">
        <v>1</v>
      </c>
      <c r="M3" s="21" t="str">
        <f xml:space="preserve"> IFERROR( MID($B$15, $H3, 1), "")</f>
        <v>1</v>
      </c>
      <c r="N3" s="21" t="str">
        <f xml:space="preserve"> IFERROR( MID($B$16, $H3, 1), "")</f>
        <v>ㄅ</v>
      </c>
      <c r="P3" s="2">
        <v>1</v>
      </c>
      <c r="Q3" s="22" t="str">
        <f xml:space="preserve"> IFERROR( MID($B$25, $P3, 1), "")</f>
        <v>p</v>
      </c>
      <c r="R3" s="22" t="str">
        <f xml:space="preserve"> IFERROR( MID($B$26, $P3, 1), "")</f>
        <v>ㄅ</v>
      </c>
      <c r="T3" s="2">
        <v>1</v>
      </c>
      <c r="U3" s="409" t="str">
        <f t="shared" ref="U3:U34" si="0" xml:space="preserve"> J3</f>
        <v>1</v>
      </c>
      <c r="V3" s="411" t="str">
        <f t="shared" ref="V3:V34" si="1">I3</f>
        <v>p</v>
      </c>
      <c r="W3" s="410" t="str" cm="1">
        <f t="array" ref="W3" xml:space="preserve"> INDEX($N$3:$N$53, MATCH(TRUE, EXACT(表格1_33411[[#This Row],[鍵盤按鍵]], $M$3:$M$53), 0))</f>
        <v>ㄅ</v>
      </c>
      <c r="X3" s="412" t="str" cm="1">
        <f t="array" ref="X3" xml:space="preserve"> INDEX(注音編碼對照表!$G$3:$G$58, MATCH(TRUE, EXACT(表格1_33411[[#This Row],[注音編碼]], 注音編碼對照表!$D$3:$D$54), 0))</f>
        <v>p</v>
      </c>
      <c r="Y3" s="24"/>
      <c r="Z3" s="413">
        <f>ROW() - 2</f>
        <v>1</v>
      </c>
      <c r="AA3" s="71" t="str">
        <f>U3</f>
        <v>1</v>
      </c>
      <c r="AB3" s="32" t="str" cm="1">
        <f t="array" ref="AB3">INDEX(注音編碼對照表!$E$3:$E$54,MATCH(TRUE,EXACT('RIME設定解析 (2)'!$AA3,注音編碼對照表!$C$3:$C$54),0))</f>
        <v>ㄅ</v>
      </c>
      <c r="AC3" s="379" t="str" cm="1">
        <f t="array" ref="AC3">INDEX(注音編碼對照表!$D$3:$D$54,MATCH(TRUE,EXACT('RIME設定解析 (2)'!$AA3,注音編碼對照表!$C$3:$C$54),0))</f>
        <v>p</v>
      </c>
      <c r="AD3" s="430" t="str" cm="1">
        <f t="array" ref="AD3">INDEX(注音編碼對照表!$G$3:$G$54,MATCH(TRUE,EXACT('RIME設定解析 (2)'!$AA3,注音編碼對照表!$C$3:$C$54),0))</f>
        <v>p</v>
      </c>
      <c r="AE3" s="2"/>
      <c r="AF3" s="361" t="str">
        <f xml:space="preserve"> "  alphabet: '" &amp; _xlfn.CONCAT(AA$3:AA$54) &amp; "'"</f>
        <v xml:space="preserve">  alphabet: '1!qa2wsxeEdcbyhnBYHN?ujm8ik,9l.0p;:/-OAUJ*I&lt;(L 43657'</v>
      </c>
      <c r="AG3" s="438"/>
      <c r="AH3" s="438"/>
      <c r="AI3" s="438"/>
      <c r="AJ3" s="438"/>
      <c r="AK3" s="438"/>
      <c r="AL3" s="438"/>
      <c r="AM3" s="438"/>
      <c r="AN3" s="438"/>
      <c r="AV3" s="11"/>
      <c r="AX3" s="2"/>
      <c r="AY3" s="443"/>
      <c r="BB3" s="2"/>
    </row>
    <row r="4" spans="2:102" ht="32.25">
      <c r="B4" s="2">
        <f xml:space="preserve"> SEARCH("|",$B$2,B3+1)</f>
        <v>58</v>
      </c>
      <c r="H4" s="2">
        <f t="shared" ref="H4:H54" si="2" xml:space="preserve"> ROW() - 2</f>
        <v>2</v>
      </c>
      <c r="I4" s="136" t="str">
        <f t="shared" ref="I4:I54" si="3" xml:space="preserve"> IFERROR( MID($B$6, $H4, 1), "")</f>
        <v>b</v>
      </c>
      <c r="J4" s="136" t="str">
        <f t="shared" ref="J4:J54" si="4" xml:space="preserve"> IFERROR( MID($B$7, $H4, 1), "")</f>
        <v>!</v>
      </c>
      <c r="L4" s="2">
        <v>2</v>
      </c>
      <c r="M4" s="21" t="str">
        <f t="shared" ref="M4:M19" si="5" xml:space="preserve"> IFERROR( MID($B$15, $H4, 1), "")</f>
        <v>!</v>
      </c>
      <c r="N4" s="21" t="str">
        <f t="shared" ref="N4:N54" si="6" xml:space="preserve"> IFERROR( MID($B$16, $H4, 1), "")</f>
        <v>ㆠ</v>
      </c>
      <c r="P4" s="2">
        <v>2</v>
      </c>
      <c r="Q4" s="22" t="str">
        <f t="shared" ref="Q4:Q44" si="7" xml:space="preserve"> IFERROR( MID($B$25, $P4, 1), "")</f>
        <v>P</v>
      </c>
      <c r="R4" s="22" t="str">
        <f t="shared" ref="R4:R44" si="8" xml:space="preserve"> IFERROR( MID($B$26, $P4, 1), "")</f>
        <v>ㄆ</v>
      </c>
      <c r="T4" s="2">
        <v>2</v>
      </c>
      <c r="U4" s="409" t="str">
        <f t="shared" ref="U4:U54" si="9" xml:space="preserve"> J4</f>
        <v>!</v>
      </c>
      <c r="V4" s="411" t="str">
        <f t="shared" ref="V4:V54" si="10">I4</f>
        <v>b</v>
      </c>
      <c r="W4" s="410" t="str" cm="1">
        <f t="array" ref="W4" xml:space="preserve"> INDEX($N$3:$N$53, MATCH(TRUE, EXACT(表格1_33411[[#This Row],[鍵盤按鍵]], $M$3:$M$53), 0))</f>
        <v>ㆠ</v>
      </c>
      <c r="X4" s="412" t="str" cm="1">
        <f t="array" ref="X4" xml:space="preserve"> INDEX(注音編碼對照表!$G$3:$G$58, MATCH(TRUE, EXACT(表格1_33411[[#This Row],[注音編碼]], 注音編碼對照表!$D$3:$D$54), 0))</f>
        <v>b</v>
      </c>
      <c r="Y4" s="24"/>
      <c r="Z4" s="413">
        <f t="shared" ref="Z4:AA58" si="11">ROW() - 2</f>
        <v>2</v>
      </c>
      <c r="AA4" s="71" t="str">
        <f>U4</f>
        <v>!</v>
      </c>
      <c r="AB4" s="32" t="str" cm="1">
        <f t="array" ref="AB4">INDEX(注音編碼對照表!$E$3:$E$54,MATCH(TRUE,EXACT('RIME設定解析 (2)'!$AA4,注音編碼對照表!$C$3:$C$54),0))</f>
        <v>ㆠ</v>
      </c>
      <c r="AC4" s="379" t="str" cm="1">
        <f t="array" ref="AC4">INDEX(注音編碼對照表!$D$3:$D$54,MATCH(TRUE,EXACT('RIME設定解析 (2)'!$AA4,注音編碼對照表!$C$3:$C$54),0))</f>
        <v>b</v>
      </c>
      <c r="AD4" s="430" t="str" cm="1">
        <f t="array" ref="AD4">INDEX(注音編碼對照表!$G$3:$G$54,MATCH(TRUE,EXACT('RIME設定解析 (2)'!$AA4,注音編碼對照表!$C$3:$C$54),0))</f>
        <v>b</v>
      </c>
      <c r="AE4" s="2"/>
      <c r="AF4" s="361" t="str">
        <f xml:space="preserve"> "  initials: '" &amp; _xlfn.CONCAT(AA$3:AA$48) &amp; "'"</f>
        <v xml:space="preserve">  initials: '1!qa2wsxeEdcbyhnBYHN?ujm8ik,9l.0p;:/-OAUJ*I&lt;(L'</v>
      </c>
      <c r="AG4" s="438"/>
      <c r="AH4" s="438"/>
      <c r="AI4" s="438"/>
      <c r="AJ4" s="438"/>
      <c r="AK4" s="438"/>
      <c r="AL4" s="438"/>
      <c r="AM4" s="438"/>
      <c r="AN4" s="438"/>
      <c r="AV4" s="11"/>
      <c r="AX4" s="2"/>
      <c r="AY4" s="443"/>
      <c r="BB4" s="2"/>
    </row>
    <row r="5" spans="2:102" ht="32.25">
      <c r="B5" s="2">
        <f xml:space="preserve"> SEARCH("|",$B$2,B4+1)</f>
        <v>111</v>
      </c>
      <c r="H5" s="2">
        <f t="shared" si="2"/>
        <v>3</v>
      </c>
      <c r="I5" s="136" t="str">
        <f t="shared" si="3"/>
        <v>P</v>
      </c>
      <c r="J5" s="136" t="str">
        <f t="shared" si="4"/>
        <v>q</v>
      </c>
      <c r="L5" s="2">
        <v>3</v>
      </c>
      <c r="M5" s="21" t="str">
        <f t="shared" si="5"/>
        <v>q</v>
      </c>
      <c r="N5" s="21" t="str">
        <f t="shared" si="6"/>
        <v>ㄆ</v>
      </c>
      <c r="P5" s="2">
        <v>3</v>
      </c>
      <c r="Q5" s="22" t="str">
        <f t="shared" si="7"/>
        <v>b</v>
      </c>
      <c r="R5" s="22" t="str">
        <f t="shared" si="8"/>
        <v>ㆠ</v>
      </c>
      <c r="T5" s="2">
        <v>3</v>
      </c>
      <c r="U5" s="409" t="str">
        <f t="shared" si="9"/>
        <v>q</v>
      </c>
      <c r="V5" s="411" t="str">
        <f t="shared" si="10"/>
        <v>P</v>
      </c>
      <c r="W5" s="410" t="str" cm="1">
        <f t="array" ref="W5" xml:space="preserve"> INDEX($N$3:$N$53, MATCH(TRUE, EXACT(表格1_33411[[#This Row],[鍵盤按鍵]], $M$3:$M$53), 0))</f>
        <v>ㄆ</v>
      </c>
      <c r="X5" s="412" t="str" cm="1">
        <f t="array" ref="X5" xml:space="preserve"> INDEX(注音編碼對照表!$G$3:$G$58, MATCH(TRUE, EXACT(表格1_33411[[#This Row],[注音編碼]], 注音編碼對照表!$D$3:$D$54), 0))</f>
        <v>ph</v>
      </c>
      <c r="Y5" s="24"/>
      <c r="Z5" s="413">
        <f t="shared" si="11"/>
        <v>3</v>
      </c>
      <c r="AA5" s="71" t="str">
        <f>U5</f>
        <v>q</v>
      </c>
      <c r="AB5" s="32" t="str" cm="1">
        <f t="array" ref="AB5">INDEX(注音編碼對照表!$E$3:$E$54,MATCH(TRUE,EXACT('RIME設定解析 (2)'!$AA5,注音編碼對照表!$C$3:$C$54),0))</f>
        <v>ㄆ</v>
      </c>
      <c r="AC5" s="379" t="str" cm="1">
        <f t="array" ref="AC5">INDEX(注音編碼對照表!$D$3:$D$54,MATCH(TRUE,EXACT('RIME設定解析 (2)'!$AA5,注音編碼對照表!$C$3:$C$54),0))</f>
        <v>P</v>
      </c>
      <c r="AD5" s="430" t="str" cm="1">
        <f t="array" ref="AD5">INDEX(注音編碼對照表!$G$3:$G$54,MATCH(TRUE,EXACT('RIME設定解析 (2)'!$AA5,注音編碼對照表!$C$3:$C$54),0))</f>
        <v>ph</v>
      </c>
      <c r="AE5" s="2"/>
      <c r="AF5" s="361" t="str">
        <f xml:space="preserve"> "  finals:   '" &amp; _xlfn.CONCAT(AA$49:AA$54) &amp; "'"</f>
        <v xml:space="preserve">  finals:   ' 43657'</v>
      </c>
      <c r="AG5" s="438"/>
      <c r="AH5" s="438"/>
      <c r="AI5" s="438"/>
      <c r="AJ5" s="438"/>
      <c r="AK5" s="438"/>
      <c r="AL5" s="438"/>
      <c r="AM5" s="438"/>
      <c r="AN5" s="438"/>
      <c r="AV5" s="11"/>
      <c r="AX5" s="2"/>
      <c r="AY5" s="443"/>
      <c r="BB5" s="2"/>
    </row>
    <row r="6" spans="2:102" ht="32.25">
      <c r="B6" s="50" t="str">
        <f xml:space="preserve"> MID($B$2,B3+1, B4-B3-1)</f>
        <v>pbPmtTnlkgKhjzcsJZCSwiuMaOoeyxB@N[WRIUAQEYX}{]123570</v>
      </c>
      <c r="C6" s="51">
        <f xml:space="preserve"> LEN(B6)</f>
        <v>52</v>
      </c>
      <c r="H6" s="2">
        <f t="shared" si="2"/>
        <v>4</v>
      </c>
      <c r="I6" s="136" t="str">
        <f t="shared" si="3"/>
        <v>m</v>
      </c>
      <c r="J6" s="136" t="str">
        <f t="shared" si="4"/>
        <v>a</v>
      </c>
      <c r="L6" s="2">
        <v>4</v>
      </c>
      <c r="M6" s="21" t="str">
        <f t="shared" si="5"/>
        <v>a</v>
      </c>
      <c r="N6" s="21" t="str">
        <f t="shared" si="6"/>
        <v>ㄇ</v>
      </c>
      <c r="P6" s="2">
        <v>4</v>
      </c>
      <c r="Q6" s="22" t="str">
        <f t="shared" si="7"/>
        <v>t</v>
      </c>
      <c r="R6" s="22" t="str">
        <f t="shared" si="8"/>
        <v>ㄉ</v>
      </c>
      <c r="T6" s="2">
        <v>4</v>
      </c>
      <c r="U6" s="409" t="str">
        <f t="shared" si="9"/>
        <v>a</v>
      </c>
      <c r="V6" s="411" t="str">
        <f t="shared" si="10"/>
        <v>m</v>
      </c>
      <c r="W6" s="410" t="str" cm="1">
        <f t="array" ref="W6" xml:space="preserve"> INDEX($N$3:$N$53, MATCH(TRUE, EXACT(表格1_33411[[#This Row],[鍵盤按鍵]], $M$3:$M$53), 0))</f>
        <v>ㄇ</v>
      </c>
      <c r="X6" s="412" t="str" cm="1">
        <f t="array" ref="X6" xml:space="preserve"> INDEX(注音編碼對照表!$G$3:$G$58, MATCH(TRUE, EXACT(表格1_33411[[#This Row],[注音編碼]], 注音編碼對照表!$D$3:$D$54), 0))</f>
        <v>m</v>
      </c>
      <c r="Y6" s="24"/>
      <c r="Z6" s="413">
        <f t="shared" si="11"/>
        <v>4</v>
      </c>
      <c r="AA6" s="71" t="str">
        <f>U6</f>
        <v>a</v>
      </c>
      <c r="AB6" s="32" t="str" cm="1">
        <f t="array" ref="AB6">INDEX(注音編碼對照表!$E$3:$E$54,MATCH(TRUE,EXACT('RIME設定解析 (2)'!$AA6,注音編碼對照表!$C$3:$C$54),0))</f>
        <v>ㄇ</v>
      </c>
      <c r="AC6" s="379" t="str" cm="1">
        <f t="array" ref="AC6">INDEX(注音編碼對照表!$D$3:$D$54,MATCH(TRUE,EXACT('RIME設定解析 (2)'!$AA6,注音編碼對照表!$C$3:$C$54),0))</f>
        <v>m</v>
      </c>
      <c r="AD6" s="430" t="str" cm="1">
        <f t="array" ref="AD6">INDEX(注音編碼對照表!$G$3:$G$54,MATCH(TRUE,EXACT('RIME設定解析 (2)'!$AA6,注音編碼對照表!$C$3:$C$54),0))</f>
        <v>m</v>
      </c>
      <c r="AE6" s="2"/>
      <c r="AF6" s="421"/>
      <c r="AG6" s="2"/>
      <c r="AV6" s="11"/>
      <c r="AX6" s="2"/>
      <c r="AY6" s="443"/>
      <c r="BB6" s="2"/>
    </row>
    <row r="7" spans="2:102" ht="32.25">
      <c r="B7" s="50" t="str">
        <f xml:space="preserve"> MID($B$2,B4+1, B5-B4-1)</f>
        <v>1!qa2wsxeEdcbyhnBYHN?ujm8ik,9l.0p;/-UJ*I&lt;(LOA: 43657</v>
      </c>
      <c r="C7" s="51">
        <f xml:space="preserve"> LEN(B7)</f>
        <v>52</v>
      </c>
      <c r="H7" s="2">
        <f t="shared" si="2"/>
        <v>5</v>
      </c>
      <c r="I7" s="136" t="str">
        <f t="shared" si="3"/>
        <v>t</v>
      </c>
      <c r="J7" s="136" t="str">
        <f t="shared" si="4"/>
        <v>2</v>
      </c>
      <c r="L7" s="2">
        <v>5</v>
      </c>
      <c r="M7" s="21" t="str">
        <f t="shared" si="5"/>
        <v>2</v>
      </c>
      <c r="N7" s="21" t="str">
        <f t="shared" si="6"/>
        <v>ㄉ</v>
      </c>
      <c r="P7" s="2">
        <v>5</v>
      </c>
      <c r="Q7" s="22" t="str">
        <f t="shared" si="7"/>
        <v>T</v>
      </c>
      <c r="R7" s="22" t="str">
        <f t="shared" si="8"/>
        <v>ㄊ</v>
      </c>
      <c r="T7" s="2">
        <v>5</v>
      </c>
      <c r="U7" s="409" t="str">
        <f t="shared" si="9"/>
        <v>2</v>
      </c>
      <c r="V7" s="411" t="str">
        <f t="shared" si="10"/>
        <v>t</v>
      </c>
      <c r="W7" s="410" t="str" cm="1">
        <f t="array" ref="W7" xml:space="preserve"> INDEX($N$3:$N$53, MATCH(TRUE, EXACT(表格1_33411[[#This Row],[鍵盤按鍵]], $M$3:$M$53), 0))</f>
        <v>ㄉ</v>
      </c>
      <c r="X7" s="412" t="str" cm="1">
        <f t="array" ref="X7" xml:space="preserve"> INDEX(注音編碼對照表!$G$3:$G$58, MATCH(TRUE, EXACT(表格1_33411[[#This Row],[注音編碼]], 注音編碼對照表!$D$3:$D$54), 0))</f>
        <v>t</v>
      </c>
      <c r="Y7" s="24"/>
      <c r="Z7" s="413">
        <f t="shared" si="11"/>
        <v>5</v>
      </c>
      <c r="AA7" s="71" t="str">
        <f>U7</f>
        <v>2</v>
      </c>
      <c r="AB7" s="32" t="str" cm="1">
        <f t="array" ref="AB7">INDEX(注音編碼對照表!$E$3:$E$54,MATCH(TRUE,EXACT('RIME設定解析 (2)'!$AA7,注音編碼對照表!$C$3:$C$54),0))</f>
        <v>ㄉ</v>
      </c>
      <c r="AC7" s="379" t="str" cm="1">
        <f t="array" ref="AC7">INDEX(注音編碼對照表!$D$3:$D$54,MATCH(TRUE,EXACT('RIME設定解析 (2)'!$AA7,注音編碼對照表!$C$3:$C$54),0))</f>
        <v>t</v>
      </c>
      <c r="AD7" s="430" t="str" cm="1">
        <f t="array" ref="AD7">INDEX(注音編碼對照表!$G$3:$G$54,MATCH(TRUE,EXACT('RIME設定解析 (2)'!$AA7,注音編碼對照表!$C$3:$C$54),0))</f>
        <v>t</v>
      </c>
      <c r="AE7" s="2"/>
      <c r="AF7" s="421"/>
      <c r="AG7" s="2"/>
      <c r="AV7" s="11"/>
      <c r="AX7" s="2"/>
      <c r="AY7" s="443"/>
      <c r="BB7" s="2"/>
    </row>
    <row r="8" spans="2:102" ht="32.25">
      <c r="H8" s="2">
        <f t="shared" si="2"/>
        <v>6</v>
      </c>
      <c r="I8" s="136" t="str">
        <f t="shared" si="3"/>
        <v>T</v>
      </c>
      <c r="J8" s="136" t="str">
        <f t="shared" si="4"/>
        <v>w</v>
      </c>
      <c r="L8" s="2">
        <v>6</v>
      </c>
      <c r="M8" s="21" t="str">
        <f t="shared" si="5"/>
        <v>w</v>
      </c>
      <c r="N8" s="21" t="str">
        <f t="shared" si="6"/>
        <v>ㄊ</v>
      </c>
      <c r="P8" s="2">
        <v>6</v>
      </c>
      <c r="Q8" s="22" t="str">
        <f t="shared" si="7"/>
        <v>d</v>
      </c>
      <c r="R8" s="22" t="str">
        <f t="shared" si="8"/>
        <v>ㄌ</v>
      </c>
      <c r="T8" s="2">
        <v>6</v>
      </c>
      <c r="U8" s="409" t="str">
        <f t="shared" si="9"/>
        <v>w</v>
      </c>
      <c r="V8" s="411" t="str">
        <f t="shared" si="10"/>
        <v>T</v>
      </c>
      <c r="W8" s="410" t="str" cm="1">
        <f t="array" ref="W8" xml:space="preserve"> INDEX($N$3:$N$53, MATCH(TRUE, EXACT(表格1_33411[[#This Row],[鍵盤按鍵]], $M$3:$M$53), 0))</f>
        <v>ㄊ</v>
      </c>
      <c r="X8" s="412" t="str" cm="1">
        <f t="array" ref="X8" xml:space="preserve"> INDEX(注音編碼對照表!$G$3:$G$58, MATCH(TRUE, EXACT(表格1_33411[[#This Row],[注音編碼]], 注音編碼對照表!$D$3:$D$54), 0))</f>
        <v>th</v>
      </c>
      <c r="Y8" s="24"/>
      <c r="Z8" s="413">
        <f t="shared" si="11"/>
        <v>6</v>
      </c>
      <c r="AA8" s="71" t="str">
        <f>U8</f>
        <v>w</v>
      </c>
      <c r="AB8" s="32" t="str" cm="1">
        <f t="array" ref="AB8">INDEX(注音編碼對照表!$E$3:$E$54,MATCH(TRUE,EXACT('RIME設定解析 (2)'!$AA8,注音編碼對照表!$C$3:$C$54),0))</f>
        <v>ㄊ</v>
      </c>
      <c r="AC8" s="379" t="str" cm="1">
        <f t="array" ref="AC8">INDEX(注音編碼對照表!$D$3:$D$54,MATCH(TRUE,EXACT('RIME設定解析 (2)'!$AA8,注音編碼對照表!$C$3:$C$54),0))</f>
        <v>T</v>
      </c>
      <c r="AD8" s="430" t="str" cm="1">
        <f t="array" ref="AD8">INDEX(注音編碼對照表!$G$3:$G$54,MATCH(TRUE,EXACT('RIME設定解析 (2)'!$AA8,注音編碼對照表!$C$3:$C$54),0))</f>
        <v>th</v>
      </c>
      <c r="AE8" s="2"/>
      <c r="AF8" s="422" t="s">
        <v>653</v>
      </c>
      <c r="AG8" s="2"/>
      <c r="AH8" s="457" t="str">
        <f xml:space="preserve"> """xlit|" &amp; AH9 &amp; "|" &amp; AH10 &amp; "|"""</f>
        <v>"xlit|pbPmtTnlkgKhjzcsJZCSwiuMaOoeyxB@NGHWRDVIUAQEYX123570|1!qa2wsxeEdcbyhnBYHN?ujm8ik,9l.0p;:/-OAUJ*I&lt;(L 43657|"</v>
      </c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60"/>
      <c r="AX8" s="2"/>
      <c r="AY8" s="448" cm="1">
        <f t="array" ref="AY8" xml:space="preserve"> COLUMN() - COLUMN($AY:$AY)</f>
        <v>0</v>
      </c>
      <c r="AZ8" s="448" cm="1">
        <f t="array" ref="AZ8" xml:space="preserve"> COLUMN() - COLUMN($AY:$AY)</f>
        <v>1</v>
      </c>
      <c r="BA8" s="448" cm="1">
        <f t="array" ref="BA8" xml:space="preserve"> COLUMN() - COLUMN($AY:$AY)</f>
        <v>2</v>
      </c>
      <c r="BB8" s="448" cm="1">
        <f t="array" ref="BB8" xml:space="preserve"> COLUMN() - COLUMN($AY:$AY)</f>
        <v>3</v>
      </c>
      <c r="BC8" s="448" cm="1">
        <f t="array" ref="BC8" xml:space="preserve"> COLUMN() - COLUMN($AY:$AY)</f>
        <v>4</v>
      </c>
      <c r="BD8" s="448" cm="1">
        <f t="array" ref="BD8" xml:space="preserve"> COLUMN() - COLUMN($AY:$AY)</f>
        <v>5</v>
      </c>
      <c r="BE8" s="448" cm="1">
        <f t="array" ref="BE8" xml:space="preserve"> COLUMN() - COLUMN($AY:$AY)</f>
        <v>6</v>
      </c>
      <c r="BF8" s="448" cm="1">
        <f t="array" ref="BF8" xml:space="preserve"> COLUMN() - COLUMN($AY:$AY)</f>
        <v>7</v>
      </c>
      <c r="BG8" s="448" cm="1">
        <f t="array" ref="BG8" xml:space="preserve"> COLUMN() - COLUMN($AY:$AY)</f>
        <v>8</v>
      </c>
      <c r="BH8" s="448" cm="1">
        <f t="array" ref="BH8" xml:space="preserve"> COLUMN() - COLUMN($AY:$AY)</f>
        <v>9</v>
      </c>
      <c r="BI8" s="448" cm="1">
        <f t="array" ref="BI8" xml:space="preserve"> COLUMN() - COLUMN($AY:$AY)</f>
        <v>10</v>
      </c>
      <c r="BJ8" s="448" cm="1">
        <f t="array" ref="BJ8" xml:space="preserve"> COLUMN() - COLUMN($AY:$AY)</f>
        <v>11</v>
      </c>
      <c r="BK8" s="448" cm="1">
        <f t="array" ref="BK8" xml:space="preserve"> COLUMN() - COLUMN($AY:$AY)</f>
        <v>12</v>
      </c>
      <c r="BL8" s="448" cm="1">
        <f t="array" ref="BL8" xml:space="preserve"> COLUMN() - COLUMN($AY:$AY)</f>
        <v>13</v>
      </c>
      <c r="BM8" s="448" cm="1">
        <f t="array" ref="BM8" xml:space="preserve"> COLUMN() - COLUMN($AY:$AY)</f>
        <v>14</v>
      </c>
      <c r="BN8" s="448" cm="1">
        <f t="array" ref="BN8" xml:space="preserve"> COLUMN() - COLUMN($AY:$AY)</f>
        <v>15</v>
      </c>
      <c r="BO8" s="448" cm="1">
        <f t="array" ref="BO8" xml:space="preserve"> COLUMN() - COLUMN($AY:$AY)</f>
        <v>16</v>
      </c>
      <c r="BP8" s="448" cm="1">
        <f t="array" ref="BP8" xml:space="preserve"> COLUMN() - COLUMN($AY:$AY)</f>
        <v>17</v>
      </c>
      <c r="BQ8" s="448" cm="1">
        <f t="array" ref="BQ8" xml:space="preserve"> COLUMN() - COLUMN($AY:$AY)</f>
        <v>18</v>
      </c>
      <c r="BR8" s="448" cm="1">
        <f t="array" ref="BR8" xml:space="preserve"> COLUMN() - COLUMN($AY:$AY)</f>
        <v>19</v>
      </c>
      <c r="BS8" s="448" cm="1">
        <f t="array" ref="BS8" xml:space="preserve"> COLUMN() - COLUMN($AY:$AY)</f>
        <v>20</v>
      </c>
      <c r="BT8" s="448" cm="1">
        <f t="array" ref="BT8" xml:space="preserve"> COLUMN() - COLUMN($AY:$AY)</f>
        <v>21</v>
      </c>
      <c r="BU8" s="448" cm="1">
        <f t="array" ref="BU8" xml:space="preserve"> COLUMN() - COLUMN($AY:$AY)</f>
        <v>22</v>
      </c>
      <c r="BV8" s="448" cm="1">
        <f t="array" ref="BV8" xml:space="preserve"> COLUMN() - COLUMN($AY:$AY)</f>
        <v>23</v>
      </c>
      <c r="BW8" s="448" cm="1">
        <f t="array" ref="BW8" xml:space="preserve"> COLUMN() - COLUMN($AY:$AY)</f>
        <v>24</v>
      </c>
      <c r="BX8" s="448" cm="1">
        <f t="array" ref="BX8" xml:space="preserve"> COLUMN() - COLUMN($AY:$AY)</f>
        <v>25</v>
      </c>
      <c r="BY8" s="448" cm="1">
        <f t="array" ref="BY8" xml:space="preserve"> COLUMN() - COLUMN($AY:$AY)</f>
        <v>26</v>
      </c>
      <c r="BZ8" s="448" cm="1">
        <f t="array" ref="BZ8" xml:space="preserve"> COLUMN() - COLUMN($AY:$AY)</f>
        <v>27</v>
      </c>
      <c r="CA8" s="448" cm="1">
        <f t="array" ref="CA8" xml:space="preserve"> COLUMN() - COLUMN($AY:$AY)</f>
        <v>28</v>
      </c>
      <c r="CB8" s="448" cm="1">
        <f t="array" ref="CB8" xml:space="preserve"> COLUMN() - COLUMN($AY:$AY)</f>
        <v>29</v>
      </c>
      <c r="CC8" s="448" cm="1">
        <f t="array" ref="CC8" xml:space="preserve"> COLUMN() - COLUMN($AY:$AY)</f>
        <v>30</v>
      </c>
      <c r="CD8" s="448" cm="1">
        <f t="array" ref="CD8" xml:space="preserve"> COLUMN() - COLUMN($AY:$AY)</f>
        <v>31</v>
      </c>
      <c r="CE8" s="448" cm="1">
        <f t="array" ref="CE8" xml:space="preserve"> COLUMN() - COLUMN($AY:$AY)</f>
        <v>32</v>
      </c>
      <c r="CF8" s="448" cm="1">
        <f t="array" ref="CF8" xml:space="preserve"> COLUMN() - COLUMN($AY:$AY)</f>
        <v>33</v>
      </c>
      <c r="CG8" s="448" cm="1">
        <f t="array" ref="CG8" xml:space="preserve"> COLUMN() - COLUMN($AY:$AY)</f>
        <v>34</v>
      </c>
      <c r="CH8" s="448" cm="1">
        <f t="array" ref="CH8" xml:space="preserve"> COLUMN() - COLUMN($AY:$AY)</f>
        <v>35</v>
      </c>
      <c r="CI8" s="448" cm="1">
        <f t="array" ref="CI8" xml:space="preserve"> COLUMN() - COLUMN($AY:$AY)</f>
        <v>36</v>
      </c>
      <c r="CJ8" s="448" cm="1">
        <f t="array" ref="CJ8" xml:space="preserve"> COLUMN() - COLUMN($AY:$AY)</f>
        <v>37</v>
      </c>
      <c r="CK8" s="448" cm="1">
        <f t="array" ref="CK8" xml:space="preserve"> COLUMN() - COLUMN($AY:$AY)</f>
        <v>38</v>
      </c>
      <c r="CL8" s="448" cm="1">
        <f t="array" ref="CL8" xml:space="preserve"> COLUMN() - COLUMN($AY:$AY)</f>
        <v>39</v>
      </c>
      <c r="CM8" s="448" cm="1">
        <f t="array" ref="CM8" xml:space="preserve"> COLUMN() - COLUMN($AY:$AY)</f>
        <v>40</v>
      </c>
      <c r="CN8" s="448" cm="1">
        <f t="array" ref="CN8" xml:space="preserve"> COLUMN() - COLUMN($AY:$AY)</f>
        <v>41</v>
      </c>
      <c r="CO8" s="448" cm="1">
        <f t="array" ref="CO8" xml:space="preserve"> COLUMN() - COLUMN($AY:$AY)</f>
        <v>42</v>
      </c>
      <c r="CP8" s="448" cm="1">
        <f t="array" ref="CP8" xml:space="preserve"> COLUMN() - COLUMN($AY:$AY)</f>
        <v>43</v>
      </c>
      <c r="CQ8" s="448" cm="1">
        <f t="array" ref="CQ8" xml:space="preserve"> COLUMN() - COLUMN($AY:$AY)</f>
        <v>44</v>
      </c>
      <c r="CR8" s="448" cm="1">
        <f t="array" ref="CR8" xml:space="preserve"> COLUMN() - COLUMN($AY:$AY)</f>
        <v>45</v>
      </c>
      <c r="CS8" s="448" cm="1">
        <f t="array" ref="CS8" xml:space="preserve"> COLUMN() - COLUMN($AY:$AY)</f>
        <v>46</v>
      </c>
      <c r="CT8" s="448" cm="1">
        <f t="array" ref="CT8" xml:space="preserve"> COLUMN() - COLUMN($AY:$AY)</f>
        <v>47</v>
      </c>
      <c r="CU8" s="448" cm="1">
        <f t="array" ref="CU8" xml:space="preserve"> COLUMN() - COLUMN($AY:$AY)</f>
        <v>48</v>
      </c>
      <c r="CV8" s="448" cm="1">
        <f t="array" ref="CV8" xml:space="preserve"> COLUMN() - COLUMN($AY:$AY)</f>
        <v>49</v>
      </c>
      <c r="CW8" s="448" cm="1">
        <f t="array" ref="CW8" xml:space="preserve"> COLUMN() - COLUMN($AY:$AY)</f>
        <v>50</v>
      </c>
      <c r="CX8" s="448" cm="1">
        <f t="array" ref="CX8" xml:space="preserve"> COLUMN() - COLUMN($AY:$AY)</f>
        <v>51</v>
      </c>
    </row>
    <row r="9" spans="2:102" ht="32.25">
      <c r="H9" s="2">
        <f t="shared" si="2"/>
        <v>7</v>
      </c>
      <c r="I9" s="136" t="str">
        <f t="shared" si="3"/>
        <v>n</v>
      </c>
      <c r="J9" s="136" t="str">
        <f t="shared" si="4"/>
        <v>s</v>
      </c>
      <c r="L9" s="2">
        <v>7</v>
      </c>
      <c r="M9" s="21" t="str">
        <f t="shared" si="5"/>
        <v>s</v>
      </c>
      <c r="N9" s="21" t="str">
        <f t="shared" si="6"/>
        <v>ㄋ</v>
      </c>
      <c r="P9" s="2">
        <v>7</v>
      </c>
      <c r="Q9" s="22" t="str">
        <f t="shared" si="7"/>
        <v>k</v>
      </c>
      <c r="R9" s="22" t="str">
        <f t="shared" si="8"/>
        <v>ㄍ</v>
      </c>
      <c r="T9" s="2">
        <v>7</v>
      </c>
      <c r="U9" s="409" t="str">
        <f t="shared" si="9"/>
        <v>s</v>
      </c>
      <c r="V9" s="411" t="str">
        <f t="shared" si="10"/>
        <v>n</v>
      </c>
      <c r="W9" s="410" t="str" cm="1">
        <f t="array" ref="W9" xml:space="preserve"> INDEX($N$3:$N$53, MATCH(TRUE, EXACT(表格1_33411[[#This Row],[鍵盤按鍵]], $M$3:$M$53), 0))</f>
        <v>ㄋ</v>
      </c>
      <c r="X9" s="412" t="str" cm="1">
        <f t="array" ref="X9" xml:space="preserve"> INDEX(注音編碼對照表!$G$3:$G$58, MATCH(TRUE, EXACT(表格1_33411[[#This Row],[注音編碼]], 注音編碼對照表!$D$3:$D$54), 0))</f>
        <v>n</v>
      </c>
      <c r="Y9" s="24"/>
      <c r="Z9" s="413">
        <f t="shared" si="11"/>
        <v>7</v>
      </c>
      <c r="AA9" s="71" t="str">
        <f>U9</f>
        <v>s</v>
      </c>
      <c r="AB9" s="32" t="str" cm="1">
        <f t="array" ref="AB9">INDEX(注音編碼對照表!$E$3:$E$54,MATCH(TRUE,EXACT('RIME設定解析 (2)'!$AA9,注音編碼對照表!$C$3:$C$54),0))</f>
        <v>ㄋ</v>
      </c>
      <c r="AC9" s="379" t="str" cm="1">
        <f t="array" ref="AC9">INDEX(注音編碼對照表!$D$3:$D$54,MATCH(TRUE,EXACT('RIME設定解析 (2)'!$AA9,注音編碼對照表!$C$3:$C$54),0))</f>
        <v>n</v>
      </c>
      <c r="AD9" s="430" t="str" cm="1">
        <f t="array" ref="AD9">INDEX(注音編碼對照表!$G$3:$G$54,MATCH(TRUE,EXACT('RIME設定解析 (2)'!$AA9,注音編碼對照表!$C$3:$C$54),0))</f>
        <v>n</v>
      </c>
      <c r="AE9" s="2"/>
      <c r="AF9" s="423" t="s">
        <v>642</v>
      </c>
      <c r="AG9" s="1">
        <f xml:space="preserve"> LEN(AH9)</f>
        <v>52</v>
      </c>
      <c r="AH9" s="37" t="str">
        <f xml:space="preserve"> _xlfn.CONCAT(AC$3:AC$54)</f>
        <v>pbPmtTnlkgKhjzcsJZCSwiuMaOoeyxB@NGHWRDVIUAQEYX123570</v>
      </c>
      <c r="AU9" s="38" t="s">
        <v>25</v>
      </c>
      <c r="AV9" s="461" t="s">
        <v>365</v>
      </c>
      <c r="AW9" s="40">
        <f xml:space="preserve"> FIND(AV9, AH9)</f>
        <v>51</v>
      </c>
      <c r="AX9" s="2"/>
      <c r="AY9" s="444" t="e">
        <f xml:space="preserve"> MID($AH$9, AY$13, 1)</f>
        <v>#VALUE!</v>
      </c>
      <c r="AZ9" s="444" t="str">
        <f xml:space="preserve"> MID($AH$9, AZ$13, 1)</f>
        <v>p</v>
      </c>
      <c r="BA9" s="444" t="str">
        <f xml:space="preserve"> MID($AH$9, BA$13, 1)</f>
        <v>b</v>
      </c>
      <c r="BB9" s="444" t="str">
        <f xml:space="preserve"> MID($AH$9, BB$13, 1)</f>
        <v>P</v>
      </c>
      <c r="BC9" s="444" t="str">
        <f xml:space="preserve"> MID($AH$9, BC$13, 1)</f>
        <v>m</v>
      </c>
      <c r="BD9" s="444" t="str">
        <f xml:space="preserve"> MID($AH$9, BD$13, 1)</f>
        <v>t</v>
      </c>
      <c r="BE9" s="444" t="str">
        <f xml:space="preserve"> MID($AH$9, BE$13, 1)</f>
        <v>T</v>
      </c>
      <c r="BF9" s="444" t="str">
        <f xml:space="preserve"> MID($AH$9, BF$13, 1)</f>
        <v>n</v>
      </c>
      <c r="BG9" s="444" t="str">
        <f xml:space="preserve"> MID($AH$9, BG$13, 1)</f>
        <v>l</v>
      </c>
      <c r="BH9" s="444" t="str">
        <f xml:space="preserve"> MID($AH$9, BH$13, 1)</f>
        <v>k</v>
      </c>
      <c r="BI9" s="444" t="str">
        <f xml:space="preserve"> MID($AH$9, BI$13, 1)</f>
        <v>g</v>
      </c>
      <c r="BJ9" s="444" t="str">
        <f xml:space="preserve"> MID($AH$9, BJ$13, 1)</f>
        <v>K</v>
      </c>
      <c r="BK9" s="444" t="str">
        <f xml:space="preserve"> MID($AH$9, BK$13, 1)</f>
        <v>h</v>
      </c>
      <c r="BL9" s="444" t="str">
        <f xml:space="preserve"> MID($AH$9, BL$13, 1)</f>
        <v>j</v>
      </c>
      <c r="BM9" s="444" t="str">
        <f xml:space="preserve"> MID($AH$9, BM$13, 1)</f>
        <v>z</v>
      </c>
      <c r="BN9" s="444" t="str">
        <f xml:space="preserve"> MID($AH$9, BN$13, 1)</f>
        <v>c</v>
      </c>
      <c r="BO9" s="444" t="str">
        <f xml:space="preserve"> MID($AH$9, BO$13, 1)</f>
        <v>s</v>
      </c>
      <c r="BP9" s="444" t="str">
        <f xml:space="preserve"> MID($AH$9, BP$13, 1)</f>
        <v>J</v>
      </c>
      <c r="BQ9" s="444" t="str">
        <f xml:space="preserve"> MID($AH$9, BQ$13, 1)</f>
        <v>Z</v>
      </c>
      <c r="BR9" s="444" t="str">
        <f xml:space="preserve"> MID($AH$9, BR$13, 1)</f>
        <v>C</v>
      </c>
      <c r="BS9" s="444" t="str">
        <f xml:space="preserve"> MID($AH$9, BS$13, 1)</f>
        <v>S</v>
      </c>
      <c r="BT9" s="444" t="str">
        <f xml:space="preserve"> MID($AH$9, BT$13, 1)</f>
        <v>w</v>
      </c>
      <c r="BU9" s="444" t="str">
        <f xml:space="preserve"> MID($AH$9, BU$13, 1)</f>
        <v>i</v>
      </c>
      <c r="BV9" s="444" t="str">
        <f xml:space="preserve"> MID($AH$9, BV$13, 1)</f>
        <v>u</v>
      </c>
      <c r="BW9" s="444" t="str">
        <f xml:space="preserve"> MID($AH$9, BW$13, 1)</f>
        <v>M</v>
      </c>
      <c r="BX9" s="444" t="str">
        <f xml:space="preserve"> MID($AH$9, BX$13, 1)</f>
        <v>a</v>
      </c>
      <c r="BY9" s="444" t="str">
        <f xml:space="preserve"> MID($AH$9, BY$13, 1)</f>
        <v>O</v>
      </c>
      <c r="BZ9" s="444" t="str">
        <f xml:space="preserve"> MID($AH$9, BZ$13, 1)</f>
        <v>o</v>
      </c>
      <c r="CA9" s="444" t="str">
        <f xml:space="preserve"> MID($AH$9, CA$13, 1)</f>
        <v>e</v>
      </c>
      <c r="CB9" s="447" t="str">
        <f xml:space="preserve"> MID($AH$9, CB$13, 1)</f>
        <v>y</v>
      </c>
      <c r="CC9" s="444" t="str">
        <f xml:space="preserve"> MID($AH$9, CC$13, 1)</f>
        <v>x</v>
      </c>
      <c r="CD9" s="444" t="str">
        <f xml:space="preserve"> MID($AH$9, CD$13, 1)</f>
        <v>B</v>
      </c>
      <c r="CE9" s="444" t="str">
        <f xml:space="preserve"> MID($AH$9, CE$13, 1)</f>
        <v>@</v>
      </c>
      <c r="CF9" s="444" t="str">
        <f xml:space="preserve"> MID($AH$9, CF$13, 1)</f>
        <v>N</v>
      </c>
      <c r="CG9" s="444" t="str">
        <f xml:space="preserve"> MID($AH$9, CG$13, 1)</f>
        <v>G</v>
      </c>
      <c r="CH9" s="444" t="str">
        <f xml:space="preserve"> MID($AH$9, CH$13, 1)</f>
        <v>H</v>
      </c>
      <c r="CI9" s="444" t="str">
        <f xml:space="preserve"> MID($AH$9, CI$13, 1)</f>
        <v>W</v>
      </c>
      <c r="CJ9" s="444" t="str">
        <f xml:space="preserve"> MID($AH$9, CJ$13, 1)</f>
        <v>R</v>
      </c>
      <c r="CK9" s="444" t="str">
        <f xml:space="preserve"> MID($AH$9, CK$13, 1)</f>
        <v>D</v>
      </c>
      <c r="CL9" s="444" t="str">
        <f xml:space="preserve"> MID($AH$9, CL$13, 1)</f>
        <v>V</v>
      </c>
      <c r="CM9" s="447" t="str">
        <f xml:space="preserve"> MID($AH$9, CM$13, 1)</f>
        <v>I</v>
      </c>
      <c r="CN9" s="447" t="str">
        <f xml:space="preserve"> MID($AH$9, CN$13, 1)</f>
        <v>U</v>
      </c>
      <c r="CO9" s="447" t="str">
        <f xml:space="preserve"> MID($AH$9, CO$13, 1)</f>
        <v>A</v>
      </c>
      <c r="CP9" s="447" t="str">
        <f xml:space="preserve"> MID($AH$9, CP$13, 1)</f>
        <v>Q</v>
      </c>
      <c r="CQ9" s="447" t="str">
        <f xml:space="preserve"> MID($AH$9, CQ$13, 1)</f>
        <v>E</v>
      </c>
      <c r="CR9" s="463" t="str">
        <f xml:space="preserve"> MID($AH$9, CR$13, 1)</f>
        <v>Y</v>
      </c>
      <c r="CS9" s="444" t="str">
        <f xml:space="preserve"> MID($AH$9, CS$13, 1)</f>
        <v>X</v>
      </c>
      <c r="CT9" s="444" t="str">
        <f xml:space="preserve"> MID($AH$9, CT$13, 1)</f>
        <v>1</v>
      </c>
      <c r="CU9" s="444" t="str">
        <f xml:space="preserve"> MID($AH$9, CU$13, 1)</f>
        <v>2</v>
      </c>
      <c r="CV9" s="444" t="str">
        <f xml:space="preserve"> MID($AH$9, CV$13, 1)</f>
        <v>3</v>
      </c>
      <c r="CW9" s="444" t="str">
        <f xml:space="preserve"> MID($AH$9, CW$13, 1)</f>
        <v>5</v>
      </c>
      <c r="CX9" s="444" t="str">
        <f xml:space="preserve"> MID($AH$9, CX$13, 1)</f>
        <v>7</v>
      </c>
    </row>
    <row r="10" spans="2:102" ht="32.25">
      <c r="B10" s="1" t="s">
        <v>2</v>
      </c>
      <c r="H10" s="2">
        <f t="shared" si="2"/>
        <v>8</v>
      </c>
      <c r="I10" s="136" t="str">
        <f t="shared" si="3"/>
        <v>l</v>
      </c>
      <c r="J10" s="136" t="str">
        <f t="shared" si="4"/>
        <v>x</v>
      </c>
      <c r="L10" s="2">
        <v>8</v>
      </c>
      <c r="M10" s="21" t="str">
        <f t="shared" si="5"/>
        <v>x</v>
      </c>
      <c r="N10" s="21" t="str">
        <f t="shared" si="6"/>
        <v>ㄌ</v>
      </c>
      <c r="P10" s="2">
        <v>8</v>
      </c>
      <c r="Q10" s="22" t="str">
        <f t="shared" si="7"/>
        <v>K</v>
      </c>
      <c r="R10" s="22" t="str">
        <f t="shared" si="8"/>
        <v>ㄎ</v>
      </c>
      <c r="T10" s="2">
        <v>8</v>
      </c>
      <c r="U10" s="409" t="str">
        <f t="shared" si="9"/>
        <v>x</v>
      </c>
      <c r="V10" s="411" t="str">
        <f t="shared" si="10"/>
        <v>l</v>
      </c>
      <c r="W10" s="410" t="str" cm="1">
        <f t="array" ref="W10" xml:space="preserve"> INDEX($N$3:$N$53, MATCH(TRUE, EXACT(表格1_33411[[#This Row],[鍵盤按鍵]], $M$3:$M$53), 0))</f>
        <v>ㄌ</v>
      </c>
      <c r="X10" s="412" t="str" cm="1">
        <f t="array" ref="X10" xml:space="preserve"> INDEX(注音編碼對照表!$G$3:$G$58, MATCH(TRUE, EXACT(表格1_33411[[#This Row],[注音編碼]], 注音編碼對照表!$D$3:$D$54), 0))</f>
        <v>l</v>
      </c>
      <c r="Y10" s="24"/>
      <c r="Z10" s="413">
        <f t="shared" si="11"/>
        <v>8</v>
      </c>
      <c r="AA10" s="71" t="str">
        <f>U10</f>
        <v>x</v>
      </c>
      <c r="AB10" s="32" t="str" cm="1">
        <f t="array" ref="AB10">INDEX(注音編碼對照表!$E$3:$E$54,MATCH(TRUE,EXACT('RIME設定解析 (2)'!$AA10,注音編碼對照表!$C$3:$C$54),0))</f>
        <v>ㄌ</v>
      </c>
      <c r="AC10" s="379" t="str" cm="1">
        <f t="array" ref="AC10">INDEX(注音編碼對照表!$D$3:$D$54,MATCH(TRUE,EXACT('RIME設定解析 (2)'!$AA10,注音編碼對照表!$C$3:$C$54),0))</f>
        <v>l</v>
      </c>
      <c r="AD10" s="430" t="str" cm="1">
        <f t="array" ref="AD10">INDEX(注音編碼對照表!$G$3:$G$54,MATCH(TRUE,EXACT('RIME設定解析 (2)'!$AA10,注音編碼對照表!$C$3:$C$54),0))</f>
        <v>l</v>
      </c>
      <c r="AE10" s="2"/>
      <c r="AF10" s="424" t="s">
        <v>11</v>
      </c>
      <c r="AG10" s="1">
        <f xml:space="preserve"> LEN(AH10)</f>
        <v>52</v>
      </c>
      <c r="AH10" s="37" t="str">
        <f>_xlfn.CONCAT(AA3:AA54)</f>
        <v>1!qa2wsxeEdcbyhnBYHN?ujm8ik,9l.0p;:/-OAUJ*I&lt;(L 43657</v>
      </c>
      <c r="AQ10" s="48" t="str">
        <f xml:space="preserve"> MID("/", AG9, 1)</f>
        <v/>
      </c>
      <c r="AV10" s="49" t="str">
        <f xml:space="preserve"> MID(AH10, AW9, 1)</f>
        <v>5</v>
      </c>
      <c r="AW10" s="40"/>
      <c r="AX10" s="2"/>
      <c r="AY10" s="444" t="e">
        <f xml:space="preserve"> MID($AH$10, AY$13, 1)</f>
        <v>#VALUE!</v>
      </c>
      <c r="AZ10" s="444" t="str">
        <f xml:space="preserve"> MID($AH$10, AZ$13, 1)</f>
        <v>1</v>
      </c>
      <c r="BA10" s="444" t="str">
        <f xml:space="preserve"> MID($AH$10, BA$13, 1)</f>
        <v>!</v>
      </c>
      <c r="BB10" s="444" t="str">
        <f xml:space="preserve"> MID($AH$10, BB$13, 1)</f>
        <v>q</v>
      </c>
      <c r="BC10" s="444" t="str">
        <f xml:space="preserve"> MID($AH$10, BC$13, 1)</f>
        <v>a</v>
      </c>
      <c r="BD10" s="444" t="str">
        <f xml:space="preserve"> MID($AH$10, BD$13, 1)</f>
        <v>2</v>
      </c>
      <c r="BE10" s="444" t="str">
        <f xml:space="preserve"> MID($AH$10, BE$13, 1)</f>
        <v>w</v>
      </c>
      <c r="BF10" s="444" t="str">
        <f xml:space="preserve"> MID($AH$10, BF$13, 1)</f>
        <v>s</v>
      </c>
      <c r="BG10" s="444" t="str">
        <f xml:space="preserve"> MID($AH$10, BG$13, 1)</f>
        <v>x</v>
      </c>
      <c r="BH10" s="444" t="str">
        <f xml:space="preserve"> MID($AH$10, BH$13, 1)</f>
        <v>e</v>
      </c>
      <c r="BI10" s="444" t="str">
        <f xml:space="preserve"> MID($AH$10, BI$13, 1)</f>
        <v>E</v>
      </c>
      <c r="BJ10" s="444" t="str">
        <f xml:space="preserve"> MID($AH$10, BJ$13, 1)</f>
        <v>d</v>
      </c>
      <c r="BK10" s="444" t="str">
        <f xml:space="preserve"> MID($AH$10, BK$13, 1)</f>
        <v>c</v>
      </c>
      <c r="BL10" s="444" t="str">
        <f xml:space="preserve"> MID($AH$10, BL$13, 1)</f>
        <v>b</v>
      </c>
      <c r="BM10" s="444" t="str">
        <f xml:space="preserve"> MID($AH$10, BM$13, 1)</f>
        <v>y</v>
      </c>
      <c r="BN10" s="444" t="str">
        <f xml:space="preserve"> MID($AH$10, BN$13, 1)</f>
        <v>h</v>
      </c>
      <c r="BO10" s="444" t="str">
        <f xml:space="preserve"> MID($AH$10, BO$13, 1)</f>
        <v>n</v>
      </c>
      <c r="BP10" s="444" t="str">
        <f xml:space="preserve"> MID($AH$10, BP$13, 1)</f>
        <v>B</v>
      </c>
      <c r="BQ10" s="444" t="str">
        <f xml:space="preserve"> MID($AH$10, BQ$13, 1)</f>
        <v>Y</v>
      </c>
      <c r="BR10" s="444" t="str">
        <f xml:space="preserve"> MID($AH$10, BR$13, 1)</f>
        <v>H</v>
      </c>
      <c r="BS10" s="444" t="str">
        <f xml:space="preserve"> MID($AH$10, BS$13, 1)</f>
        <v>N</v>
      </c>
      <c r="BT10" s="444" t="str">
        <f xml:space="preserve"> MID($AH$10, BT$13, 1)</f>
        <v>?</v>
      </c>
      <c r="BU10" s="444" t="str">
        <f xml:space="preserve"> MID($AH$10, BU$13, 1)</f>
        <v>u</v>
      </c>
      <c r="BV10" s="444" t="str">
        <f xml:space="preserve"> MID($AH$10, BV$13, 1)</f>
        <v>j</v>
      </c>
      <c r="BW10" s="444" t="str">
        <f xml:space="preserve"> MID($AH$10, BW$13, 1)</f>
        <v>m</v>
      </c>
      <c r="BX10" s="444" t="str">
        <f xml:space="preserve"> MID($AH$10, BX$13, 1)</f>
        <v>8</v>
      </c>
      <c r="BY10" s="444" t="str">
        <f xml:space="preserve"> MID($AH$10, BY$13, 1)</f>
        <v>i</v>
      </c>
      <c r="BZ10" s="444" t="str">
        <f xml:space="preserve"> MID($AH$10, BZ$13, 1)</f>
        <v>k</v>
      </c>
      <c r="CA10" s="444" t="str">
        <f xml:space="preserve"> MID($AH$10, CA$13, 1)</f>
        <v>,</v>
      </c>
      <c r="CB10" s="447" t="str">
        <f xml:space="preserve"> MID($AH$10, CB$13, 1)</f>
        <v>9</v>
      </c>
      <c r="CC10" s="444" t="str">
        <f xml:space="preserve"> MID($AH$10, CC$13, 1)</f>
        <v>l</v>
      </c>
      <c r="CD10" s="444" t="str">
        <f xml:space="preserve"> MID($AH$10, CD$13, 1)</f>
        <v>.</v>
      </c>
      <c r="CE10" s="444" t="str">
        <f xml:space="preserve"> MID($AH$10, CE$13, 1)</f>
        <v>0</v>
      </c>
      <c r="CF10" s="444" t="str">
        <f xml:space="preserve"> MID($AH$10, CF$13, 1)</f>
        <v>p</v>
      </c>
      <c r="CG10" s="444" t="str">
        <f xml:space="preserve"> MID($AH$10, CG$13, 1)</f>
        <v>;</v>
      </c>
      <c r="CH10" s="444" t="str">
        <f xml:space="preserve"> MID($AH$10, CH$13, 1)</f>
        <v>:</v>
      </c>
      <c r="CI10" s="444" t="str">
        <f xml:space="preserve"> MID($AH$10, CI$13, 1)</f>
        <v>/</v>
      </c>
      <c r="CJ10" s="444" t="str">
        <f xml:space="preserve"> MID($AH$10, CJ$13, 1)</f>
        <v>-</v>
      </c>
      <c r="CK10" s="444" t="str">
        <f xml:space="preserve"> MID($AH$10, CK$13, 1)</f>
        <v>O</v>
      </c>
      <c r="CL10" s="444" t="str">
        <f xml:space="preserve"> MID($AH$10, CL$13, 1)</f>
        <v>A</v>
      </c>
      <c r="CM10" s="447" t="str">
        <f xml:space="preserve"> MID($AH$10, CM$13, 1)</f>
        <v>U</v>
      </c>
      <c r="CN10" s="447" t="str">
        <f xml:space="preserve"> MID($AH$10, CN$13, 1)</f>
        <v>J</v>
      </c>
      <c r="CO10" s="447" t="str">
        <f xml:space="preserve"> MID($AH$10, CO$13, 1)</f>
        <v>*</v>
      </c>
      <c r="CP10" s="447" t="str">
        <f xml:space="preserve"> MID($AH$10, CP$13, 1)</f>
        <v>I</v>
      </c>
      <c r="CQ10" s="447" t="str">
        <f xml:space="preserve"> MID($AH$10, CQ$13, 1)</f>
        <v>&lt;</v>
      </c>
      <c r="CR10" s="463" t="str">
        <f xml:space="preserve"> MID($AH$10, CR$13, 1)</f>
        <v>(</v>
      </c>
      <c r="CS10" s="444" t="str">
        <f xml:space="preserve"> MID($AH$10, CS$13, 1)</f>
        <v>L</v>
      </c>
      <c r="CT10" s="444" t="str">
        <f xml:space="preserve"> MID($AH$10, CT$13, 1)</f>
        <v xml:space="preserve"> </v>
      </c>
      <c r="CU10" s="444" t="str">
        <f xml:space="preserve"> MID($AH$10, CU$13, 1)</f>
        <v>4</v>
      </c>
      <c r="CV10" s="444" t="str">
        <f xml:space="preserve"> MID($AH$10, CV$13, 1)</f>
        <v>3</v>
      </c>
      <c r="CW10" s="444" t="str">
        <f xml:space="preserve"> MID($AH$10, CW$13, 1)</f>
        <v>6</v>
      </c>
      <c r="CX10" s="444" t="str">
        <f xml:space="preserve"> MID($AH$10, CX$13, 1)</f>
        <v>5</v>
      </c>
    </row>
    <row r="11" spans="2:102" ht="32.25">
      <c r="B11" s="491" t="s">
        <v>669</v>
      </c>
      <c r="H11" s="2">
        <f t="shared" si="2"/>
        <v>9</v>
      </c>
      <c r="I11" s="136" t="str">
        <f t="shared" si="3"/>
        <v>k</v>
      </c>
      <c r="J11" s="136" t="str">
        <f t="shared" si="4"/>
        <v>e</v>
      </c>
      <c r="L11" s="2">
        <v>9</v>
      </c>
      <c r="M11" s="21" t="str">
        <f t="shared" si="5"/>
        <v>e</v>
      </c>
      <c r="N11" s="21" t="str">
        <f t="shared" si="6"/>
        <v>ㄍ</v>
      </c>
      <c r="P11" s="2">
        <v>9</v>
      </c>
      <c r="Q11" s="22" t="str">
        <f t="shared" si="7"/>
        <v>g</v>
      </c>
      <c r="R11" s="22" t="str">
        <f t="shared" si="8"/>
        <v>ㆣ</v>
      </c>
      <c r="T11" s="2">
        <v>9</v>
      </c>
      <c r="U11" s="409" t="str">
        <f t="shared" si="9"/>
        <v>e</v>
      </c>
      <c r="V11" s="411" t="str">
        <f t="shared" si="10"/>
        <v>k</v>
      </c>
      <c r="W11" s="410" t="str" cm="1">
        <f t="array" ref="W11" xml:space="preserve"> INDEX($N$3:$N$53, MATCH(TRUE, EXACT(表格1_33411[[#This Row],[鍵盤按鍵]], $M$3:$M$53), 0))</f>
        <v>ㄍ</v>
      </c>
      <c r="X11" s="412" t="str" cm="1">
        <f t="array" ref="X11" xml:space="preserve"> INDEX(注音編碼對照表!$G$3:$G$58, MATCH(TRUE, EXACT(表格1_33411[[#This Row],[注音編碼]], 注音編碼對照表!$D$3:$D$54), 0))</f>
        <v>k</v>
      </c>
      <c r="Y11" s="24"/>
      <c r="Z11" s="413">
        <f t="shared" si="11"/>
        <v>9</v>
      </c>
      <c r="AA11" s="71" t="str">
        <f>U11</f>
        <v>e</v>
      </c>
      <c r="AB11" s="32" t="str" cm="1">
        <f t="array" ref="AB11">INDEX(注音編碼對照表!$E$3:$E$54,MATCH(TRUE,EXACT('RIME設定解析 (2)'!$AA11,注音編碼對照表!$C$3:$C$54),0))</f>
        <v>ㄍ</v>
      </c>
      <c r="AC11" s="379" t="str" cm="1">
        <f t="array" ref="AC11">INDEX(注音編碼對照表!$D$3:$D$54,MATCH(TRUE,EXACT('RIME設定解析 (2)'!$AA11,注音編碼對照表!$C$3:$C$54),0))</f>
        <v>k</v>
      </c>
      <c r="AD11" s="430" t="str" cm="1">
        <f t="array" ref="AD11">INDEX(注音編碼對照表!$G$3:$G$54,MATCH(TRUE,EXACT('RIME設定解析 (2)'!$AA11,注音編碼對照表!$C$3:$C$54),0))</f>
        <v>k</v>
      </c>
      <c r="AE11" s="2"/>
      <c r="AF11" s="425"/>
      <c r="AG11" s="37"/>
      <c r="AH11" s="37"/>
      <c r="AQ11" s="48"/>
      <c r="AV11" s="11"/>
      <c r="AX11" s="2"/>
      <c r="AY11" s="443"/>
      <c r="BB11" s="2"/>
    </row>
    <row r="12" spans="2:102" ht="32.25">
      <c r="B12" s="2">
        <f xml:space="preserve"> SEARCH("|",$B$11,1)</f>
        <v>6</v>
      </c>
      <c r="H12" s="2">
        <f t="shared" si="2"/>
        <v>10</v>
      </c>
      <c r="I12" s="136" t="str">
        <f t="shared" si="3"/>
        <v>g</v>
      </c>
      <c r="J12" s="136" t="str">
        <f t="shared" si="4"/>
        <v>E</v>
      </c>
      <c r="L12" s="2">
        <v>10</v>
      </c>
      <c r="M12" s="21" t="str">
        <f t="shared" si="5"/>
        <v>E</v>
      </c>
      <c r="N12" s="21" t="str">
        <f t="shared" si="6"/>
        <v>ㆣ</v>
      </c>
      <c r="P12" s="2">
        <v>10</v>
      </c>
      <c r="Q12" s="22" t="str">
        <f t="shared" si="7"/>
        <v>c</v>
      </c>
      <c r="R12" s="22" t="str">
        <f t="shared" si="8"/>
        <v>ㄗ</v>
      </c>
      <c r="T12" s="2">
        <v>10</v>
      </c>
      <c r="U12" s="409" t="str">
        <f t="shared" si="9"/>
        <v>E</v>
      </c>
      <c r="V12" s="411" t="str">
        <f t="shared" si="10"/>
        <v>g</v>
      </c>
      <c r="W12" s="410" t="str" cm="1">
        <f t="array" ref="W12" xml:space="preserve"> INDEX($N$3:$N$53, MATCH(TRUE, EXACT(表格1_33411[[#This Row],[鍵盤按鍵]], $M$3:$M$53), 0))</f>
        <v>ㆣ</v>
      </c>
      <c r="X12" s="412" t="str" cm="1">
        <f t="array" ref="X12" xml:space="preserve"> INDEX(注音編碼對照表!$G$3:$G$58, MATCH(TRUE, EXACT(表格1_33411[[#This Row],[注音編碼]], 注音編碼對照表!$D$3:$D$54), 0))</f>
        <v>g</v>
      </c>
      <c r="Y12" s="24"/>
      <c r="Z12" s="413">
        <f t="shared" si="11"/>
        <v>10</v>
      </c>
      <c r="AA12" s="71" t="str">
        <f>U12</f>
        <v>E</v>
      </c>
      <c r="AB12" s="32" t="str" cm="1">
        <f t="array" ref="AB12">INDEX(注音編碼對照表!$E$3:$E$54,MATCH(TRUE,EXACT('RIME設定解析 (2)'!$AA12,注音編碼對照表!$C$3:$C$54),0))</f>
        <v>ㆣ</v>
      </c>
      <c r="AC12" s="379" t="str" cm="1">
        <f t="array" ref="AC12">INDEX(注音編碼對照表!$D$3:$D$54,MATCH(TRUE,EXACT('RIME設定解析 (2)'!$AA12,注音編碼對照表!$C$3:$C$54),0))</f>
        <v>g</v>
      </c>
      <c r="AD12" s="430" t="str" cm="1">
        <f t="array" ref="AD12">INDEX(注音編碼對照表!$G$3:$G$54,MATCH(TRUE,EXACT('RIME設定解析 (2)'!$AA12,注音編碼對照表!$C$3:$C$54),0))</f>
        <v>g</v>
      </c>
      <c r="AE12" s="2"/>
      <c r="AF12" s="421"/>
      <c r="AG12" s="2"/>
      <c r="AH12" s="48"/>
      <c r="AV12" s="11"/>
      <c r="AX12" s="2"/>
      <c r="AY12" s="443"/>
      <c r="BB12" s="2"/>
    </row>
    <row r="13" spans="2:102" ht="32.25">
      <c r="B13" s="2">
        <f xml:space="preserve"> SEARCH("|",$B$11,B12+1)</f>
        <v>58</v>
      </c>
      <c r="H13" s="2">
        <f t="shared" si="2"/>
        <v>11</v>
      </c>
      <c r="I13" s="136" t="str">
        <f t="shared" si="3"/>
        <v>K</v>
      </c>
      <c r="J13" s="136" t="str">
        <f t="shared" si="4"/>
        <v>d</v>
      </c>
      <c r="L13" s="2">
        <v>11</v>
      </c>
      <c r="M13" s="21" t="str">
        <f t="shared" si="5"/>
        <v>d</v>
      </c>
      <c r="N13" s="21" t="str">
        <f t="shared" si="6"/>
        <v>ㄎ</v>
      </c>
      <c r="P13" s="2">
        <v>11</v>
      </c>
      <c r="Q13" s="22" t="str">
        <f t="shared" si="7"/>
        <v>C</v>
      </c>
      <c r="R13" s="22" t="str">
        <f t="shared" si="8"/>
        <v>ㄘ</v>
      </c>
      <c r="T13" s="2">
        <v>11</v>
      </c>
      <c r="U13" s="409" t="str">
        <f t="shared" si="9"/>
        <v>d</v>
      </c>
      <c r="V13" s="411" t="str">
        <f t="shared" si="10"/>
        <v>K</v>
      </c>
      <c r="W13" s="410" t="str" cm="1">
        <f t="array" ref="W13" xml:space="preserve"> INDEX($N$3:$N$53, MATCH(TRUE, EXACT(表格1_33411[[#This Row],[鍵盤按鍵]], $M$3:$M$53), 0))</f>
        <v>ㄎ</v>
      </c>
      <c r="X13" s="412" t="str" cm="1">
        <f t="array" ref="X13" xml:space="preserve"> INDEX(注音編碼對照表!$G$3:$G$58, MATCH(TRUE, EXACT(表格1_33411[[#This Row],[注音編碼]], 注音編碼對照表!$D$3:$D$54), 0))</f>
        <v>kh</v>
      </c>
      <c r="Y13" s="24"/>
      <c r="Z13" s="413">
        <f t="shared" si="11"/>
        <v>11</v>
      </c>
      <c r="AA13" s="71" t="str">
        <f>U13</f>
        <v>d</v>
      </c>
      <c r="AB13" s="32" t="str" cm="1">
        <f t="array" ref="AB13">INDEX(注音編碼對照表!$E$3:$E$54,MATCH(TRUE,EXACT('RIME設定解析 (2)'!$AA13,注音編碼對照表!$C$3:$C$54),0))</f>
        <v>ㄎ</v>
      </c>
      <c r="AC13" s="379" t="str" cm="1">
        <f t="array" ref="AC13">INDEX(注音編碼對照表!$D$3:$D$54,MATCH(TRUE,EXACT('RIME設定解析 (2)'!$AA13,注音編碼對照表!$C$3:$C$54),0))</f>
        <v>K</v>
      </c>
      <c r="AD13" s="430" t="str" cm="1">
        <f t="array" ref="AD13">INDEX(注音編碼對照表!$G$3:$G$54,MATCH(TRUE,EXACT('RIME設定解析 (2)'!$AA13,注音編碼對照表!$C$3:$C$54),0))</f>
        <v>kh</v>
      </c>
      <c r="AE13" s="2"/>
      <c r="AF13" s="422" t="s">
        <v>35</v>
      </c>
      <c r="AG13" s="2"/>
      <c r="AH13" s="459" t="str">
        <f xml:space="preserve"> """xlit|" &amp; AH14 &amp; "|" &amp; AH15 &amp; "|"""</f>
        <v>"xlit|1!qa2wsxeEdcbyhnBYHN?ujm8ik,9l.0p;:/-OAUJ*I&lt;(L43657|ㄅㆠㄆㄇㄉㄊㄋㄌㄍㆣㄎㄏㆡㄗㄘㄙㆢㄐㄑㄒㄫㄧㄨㆬㄚㆦㄜㆤㄞㄠｎㄢㄣㄤㆲㆭㆨㆱㆰㆪㆫㆩㆧㆥㆮㆯˋ˪ˊ˫˙|"</v>
      </c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60"/>
      <c r="AX13" s="2"/>
      <c r="AY13" s="448" cm="1">
        <f t="array" ref="AY13" xml:space="preserve"> COLUMN() - COLUMN($AY:$AY)</f>
        <v>0</v>
      </c>
      <c r="AZ13" s="448" cm="1">
        <f t="array" ref="AZ13" xml:space="preserve"> COLUMN() - COLUMN($AY:$AY)</f>
        <v>1</v>
      </c>
      <c r="BA13" s="448" cm="1">
        <f t="array" ref="BA13" xml:space="preserve"> COLUMN() - COLUMN($AY:$AY)</f>
        <v>2</v>
      </c>
      <c r="BB13" s="448" cm="1">
        <f t="array" ref="BB13" xml:space="preserve"> COLUMN() - COLUMN($AY:$AY)</f>
        <v>3</v>
      </c>
      <c r="BC13" s="448" cm="1">
        <f t="array" ref="BC13" xml:space="preserve"> COLUMN() - COLUMN($AY:$AY)</f>
        <v>4</v>
      </c>
      <c r="BD13" s="448" cm="1">
        <f t="array" ref="BD13" xml:space="preserve"> COLUMN() - COLUMN($AY:$AY)</f>
        <v>5</v>
      </c>
      <c r="BE13" s="448" cm="1">
        <f t="array" ref="BE13" xml:space="preserve"> COLUMN() - COLUMN($AY:$AY)</f>
        <v>6</v>
      </c>
      <c r="BF13" s="448" cm="1">
        <f t="array" ref="BF13" xml:space="preserve"> COLUMN() - COLUMN($AY:$AY)</f>
        <v>7</v>
      </c>
      <c r="BG13" s="448" cm="1">
        <f t="array" ref="BG13" xml:space="preserve"> COLUMN() - COLUMN($AY:$AY)</f>
        <v>8</v>
      </c>
      <c r="BH13" s="448" cm="1">
        <f t="array" ref="BH13" xml:space="preserve"> COLUMN() - COLUMN($AY:$AY)</f>
        <v>9</v>
      </c>
      <c r="BI13" s="448" cm="1">
        <f t="array" ref="BI13" xml:space="preserve"> COLUMN() - COLUMN($AY:$AY)</f>
        <v>10</v>
      </c>
      <c r="BJ13" s="448" cm="1">
        <f t="array" ref="BJ13" xml:space="preserve"> COLUMN() - COLUMN($AY:$AY)</f>
        <v>11</v>
      </c>
      <c r="BK13" s="448" cm="1">
        <f t="array" ref="BK13" xml:space="preserve"> COLUMN() - COLUMN($AY:$AY)</f>
        <v>12</v>
      </c>
      <c r="BL13" s="448" cm="1">
        <f t="array" ref="BL13" xml:space="preserve"> COLUMN() - COLUMN($AY:$AY)</f>
        <v>13</v>
      </c>
      <c r="BM13" s="448" cm="1">
        <f t="array" ref="BM13" xml:space="preserve"> COLUMN() - COLUMN($AY:$AY)</f>
        <v>14</v>
      </c>
      <c r="BN13" s="448" cm="1">
        <f t="array" ref="BN13" xml:space="preserve"> COLUMN() - COLUMN($AY:$AY)</f>
        <v>15</v>
      </c>
      <c r="BO13" s="448" cm="1">
        <f t="array" ref="BO13" xml:space="preserve"> COLUMN() - COLUMN($AY:$AY)</f>
        <v>16</v>
      </c>
      <c r="BP13" s="448" cm="1">
        <f t="array" ref="BP13" xml:space="preserve"> COLUMN() - COLUMN($AY:$AY)</f>
        <v>17</v>
      </c>
      <c r="BQ13" s="448" cm="1">
        <f t="array" ref="BQ13" xml:space="preserve"> COLUMN() - COLUMN($AY:$AY)</f>
        <v>18</v>
      </c>
      <c r="BR13" s="448" cm="1">
        <f t="array" ref="BR13" xml:space="preserve"> COLUMN() - COLUMN($AY:$AY)</f>
        <v>19</v>
      </c>
      <c r="BS13" s="448" cm="1">
        <f t="array" ref="BS13" xml:space="preserve"> COLUMN() - COLUMN($AY:$AY)</f>
        <v>20</v>
      </c>
      <c r="BT13" s="448" cm="1">
        <f t="array" ref="BT13" xml:space="preserve"> COLUMN() - COLUMN($AY:$AY)</f>
        <v>21</v>
      </c>
      <c r="BU13" s="448" cm="1">
        <f t="array" ref="BU13" xml:space="preserve"> COLUMN() - COLUMN($AY:$AY)</f>
        <v>22</v>
      </c>
      <c r="BV13" s="448" cm="1">
        <f t="array" ref="BV13" xml:space="preserve"> COLUMN() - COLUMN($AY:$AY)</f>
        <v>23</v>
      </c>
      <c r="BW13" s="448" cm="1">
        <f t="array" ref="BW13" xml:space="preserve"> COLUMN() - COLUMN($AY:$AY)</f>
        <v>24</v>
      </c>
      <c r="BX13" s="448" cm="1">
        <f t="array" ref="BX13" xml:space="preserve"> COLUMN() - COLUMN($AY:$AY)</f>
        <v>25</v>
      </c>
      <c r="BY13" s="448" cm="1">
        <f t="array" ref="BY13" xml:space="preserve"> COLUMN() - COLUMN($AY:$AY)</f>
        <v>26</v>
      </c>
      <c r="BZ13" s="448" cm="1">
        <f t="array" ref="BZ13" xml:space="preserve"> COLUMN() - COLUMN($AY:$AY)</f>
        <v>27</v>
      </c>
      <c r="CA13" s="448" cm="1">
        <f t="array" ref="CA13" xml:space="preserve"> COLUMN() - COLUMN($AY:$AY)</f>
        <v>28</v>
      </c>
      <c r="CB13" s="448" cm="1">
        <f t="array" ref="CB13" xml:space="preserve"> COLUMN() - COLUMN($AY:$AY)</f>
        <v>29</v>
      </c>
      <c r="CC13" s="448" cm="1">
        <f t="array" ref="CC13" xml:space="preserve"> COLUMN() - COLUMN($AY:$AY)</f>
        <v>30</v>
      </c>
      <c r="CD13" s="448" cm="1">
        <f t="array" ref="CD13" xml:space="preserve"> COLUMN() - COLUMN($AY:$AY)</f>
        <v>31</v>
      </c>
      <c r="CE13" s="448" cm="1">
        <f t="array" ref="CE13" xml:space="preserve"> COLUMN() - COLUMN($AY:$AY)</f>
        <v>32</v>
      </c>
      <c r="CF13" s="448" cm="1">
        <f t="array" ref="CF13" xml:space="preserve"> COLUMN() - COLUMN($AY:$AY)</f>
        <v>33</v>
      </c>
      <c r="CG13" s="448" cm="1">
        <f t="array" ref="CG13" xml:space="preserve"> COLUMN() - COLUMN($AY:$AY)</f>
        <v>34</v>
      </c>
      <c r="CH13" s="448" cm="1">
        <f t="array" ref="CH13" xml:space="preserve"> COLUMN() - COLUMN($AY:$AY)</f>
        <v>35</v>
      </c>
      <c r="CI13" s="448" cm="1">
        <f t="array" ref="CI13" xml:space="preserve"> COLUMN() - COLUMN($AY:$AY)</f>
        <v>36</v>
      </c>
      <c r="CJ13" s="448" cm="1">
        <f t="array" ref="CJ13" xml:space="preserve"> COLUMN() - COLUMN($AY:$AY)</f>
        <v>37</v>
      </c>
      <c r="CK13" s="448" cm="1">
        <f t="array" ref="CK13" xml:space="preserve"> COLUMN() - COLUMN($AY:$AY)</f>
        <v>38</v>
      </c>
      <c r="CL13" s="448" cm="1">
        <f t="array" ref="CL13" xml:space="preserve"> COLUMN() - COLUMN($AY:$AY)</f>
        <v>39</v>
      </c>
      <c r="CM13" s="448" cm="1">
        <f t="array" ref="CM13" xml:space="preserve"> COLUMN() - COLUMN($AY:$AY)</f>
        <v>40</v>
      </c>
      <c r="CN13" s="448" cm="1">
        <f t="array" ref="CN13" xml:space="preserve"> COLUMN() - COLUMN($AY:$AY)</f>
        <v>41</v>
      </c>
      <c r="CO13" s="448" cm="1">
        <f t="array" ref="CO13" xml:space="preserve"> COLUMN() - COLUMN($AY:$AY)</f>
        <v>42</v>
      </c>
      <c r="CP13" s="448" cm="1">
        <f t="array" ref="CP13" xml:space="preserve"> COLUMN() - COLUMN($AY:$AY)</f>
        <v>43</v>
      </c>
      <c r="CQ13" s="448" cm="1">
        <f t="array" ref="CQ13" xml:space="preserve"> COLUMN() - COLUMN($AY:$AY)</f>
        <v>44</v>
      </c>
      <c r="CR13" s="448" cm="1">
        <f t="array" ref="CR13" xml:space="preserve"> COLUMN() - COLUMN($AY:$AY)</f>
        <v>45</v>
      </c>
      <c r="CS13" s="448" cm="1">
        <f t="array" ref="CS13" xml:space="preserve"> COLUMN() - COLUMN($AY:$AY)</f>
        <v>46</v>
      </c>
      <c r="CT13" s="448" cm="1">
        <f t="array" ref="CT13" xml:space="preserve"> COLUMN() - COLUMN($AY:$AY)</f>
        <v>47</v>
      </c>
      <c r="CU13" s="448" cm="1">
        <f t="array" ref="CU13" xml:space="preserve"> COLUMN() - COLUMN($AY:$AY)</f>
        <v>48</v>
      </c>
      <c r="CV13" s="448" cm="1">
        <f t="array" ref="CV13" xml:space="preserve"> COLUMN() - COLUMN($AY:$AY)</f>
        <v>49</v>
      </c>
      <c r="CW13" s="448" cm="1">
        <f t="array" ref="CW13" xml:space="preserve"> COLUMN() - COLUMN($AY:$AY)</f>
        <v>50</v>
      </c>
      <c r="CX13" s="448" cm="1">
        <f t="array" ref="CX13" xml:space="preserve"> COLUMN() - COLUMN($AY:$AY)</f>
        <v>51</v>
      </c>
    </row>
    <row r="14" spans="2:102" ht="32.25">
      <c r="B14" s="2">
        <f xml:space="preserve"> SEARCH("|",$B$11,B13+1)</f>
        <v>110</v>
      </c>
      <c r="H14" s="2">
        <f t="shared" si="2"/>
        <v>12</v>
      </c>
      <c r="I14" s="136" t="str">
        <f t="shared" si="3"/>
        <v>h</v>
      </c>
      <c r="J14" s="136" t="str">
        <f t="shared" si="4"/>
        <v>c</v>
      </c>
      <c r="L14" s="2">
        <v>12</v>
      </c>
      <c r="M14" s="21" t="str">
        <f t="shared" si="5"/>
        <v>c</v>
      </c>
      <c r="N14" s="21" t="str">
        <f t="shared" si="6"/>
        <v>ㄏ</v>
      </c>
      <c r="P14" s="2">
        <v>12</v>
      </c>
      <c r="Q14" s="22" t="str">
        <f t="shared" si="7"/>
        <v>z</v>
      </c>
      <c r="R14" s="22" t="str">
        <f t="shared" si="8"/>
        <v>ㆡ</v>
      </c>
      <c r="T14" s="2">
        <v>12</v>
      </c>
      <c r="U14" s="409" t="str">
        <f t="shared" si="9"/>
        <v>c</v>
      </c>
      <c r="V14" s="411" t="str">
        <f t="shared" si="10"/>
        <v>h</v>
      </c>
      <c r="W14" s="410" t="str" cm="1">
        <f t="array" ref="W14" xml:space="preserve"> INDEX($N$3:$N$53, MATCH(TRUE, EXACT(表格1_33411[[#This Row],[鍵盤按鍵]], $M$3:$M$53), 0))</f>
        <v>ㄏ</v>
      </c>
      <c r="X14" s="412" t="str" cm="1">
        <f t="array" ref="X14" xml:space="preserve"> INDEX(注音編碼對照表!$G$3:$G$58, MATCH(TRUE, EXACT(表格1_33411[[#This Row],[注音編碼]], 注音編碼對照表!$D$3:$D$54), 0))</f>
        <v>h</v>
      </c>
      <c r="Y14" s="24"/>
      <c r="Z14" s="413">
        <f t="shared" si="11"/>
        <v>12</v>
      </c>
      <c r="AA14" s="71" t="str">
        <f>U14</f>
        <v>c</v>
      </c>
      <c r="AB14" s="32" t="str" cm="1">
        <f t="array" ref="AB14">INDEX(注音編碼對照表!$E$3:$E$54,MATCH(TRUE,EXACT('RIME設定解析 (2)'!$AA14,注音編碼對照表!$C$3:$C$54),0))</f>
        <v>ㄏ</v>
      </c>
      <c r="AC14" s="379" t="str" cm="1">
        <f t="array" ref="AC14">INDEX(注音編碼對照表!$D$3:$D$54,MATCH(TRUE,EXACT('RIME設定解析 (2)'!$AA14,注音編碼對照表!$C$3:$C$54),0))</f>
        <v>h</v>
      </c>
      <c r="AD14" s="430" t="str" cm="1">
        <f t="array" ref="AD14">INDEX(注音編碼對照表!$G$3:$G$54,MATCH(TRUE,EXACT('RIME設定解析 (2)'!$AA14,注音編碼對照表!$C$3:$C$54),0))</f>
        <v>h</v>
      </c>
      <c r="AE14" s="2"/>
      <c r="AF14" s="424" t="s">
        <v>11</v>
      </c>
      <c r="AG14" s="1">
        <f xml:space="preserve"> LEN(AH14)</f>
        <v>51</v>
      </c>
      <c r="AH14" s="37" t="str">
        <f xml:space="preserve"> _xlfn.CONCAT($AA3:$AA$48, $AA$50:$AA$54)</f>
        <v>1!qa2wsxeEdcbyhnBYHN?ujm8ik,9l.0p;:/-OAUJ*I&lt;(L43657</v>
      </c>
      <c r="AU14" s="38" t="s">
        <v>25</v>
      </c>
      <c r="AV14" s="462" t="str">
        <f>AV10</f>
        <v>5</v>
      </c>
      <c r="AW14" s="40">
        <f xml:space="preserve"> FIND(AV14, AH14)</f>
        <v>50</v>
      </c>
      <c r="AX14" s="2"/>
      <c r="AY14" s="444" t="e">
        <f xml:space="preserve"> MID($AH$14, AY$13, 1)</f>
        <v>#VALUE!</v>
      </c>
      <c r="AZ14" s="445" t="str">
        <f xml:space="preserve"> MID($AH$14, AZ$13, 1)</f>
        <v>1</v>
      </c>
      <c r="BA14" s="445" t="str">
        <f xml:space="preserve"> MID($AH$14, BA$13, 1)</f>
        <v>!</v>
      </c>
      <c r="BB14" s="446" t="str">
        <f xml:space="preserve"> MID($AH$14, BB$13, 1)</f>
        <v>q</v>
      </c>
      <c r="BC14" s="446" t="str">
        <f xml:space="preserve"> MID($AH$14, BC$13, 1)</f>
        <v>a</v>
      </c>
      <c r="BD14" s="446" t="str">
        <f xml:space="preserve"> MID($AH$14, BD$13, 1)</f>
        <v>2</v>
      </c>
      <c r="BE14" s="446" t="str">
        <f xml:space="preserve"> MID($AH$14, BE$13, 1)</f>
        <v>w</v>
      </c>
      <c r="BF14" s="446" t="str">
        <f xml:space="preserve"> MID($AH$14, BF$13, 1)</f>
        <v>s</v>
      </c>
      <c r="BG14" s="446" t="str">
        <f xml:space="preserve"> MID($AH$14, BG$13, 1)</f>
        <v>x</v>
      </c>
      <c r="BH14" s="446" t="str">
        <f xml:space="preserve"> MID($AH$14, BH$13, 1)</f>
        <v>e</v>
      </c>
      <c r="BI14" s="446" t="str">
        <f xml:space="preserve"> MID($AH$14, BI$13, 1)</f>
        <v>E</v>
      </c>
      <c r="BJ14" s="446" t="str">
        <f xml:space="preserve"> MID($AH$14, BJ$13, 1)</f>
        <v>d</v>
      </c>
      <c r="BK14" s="446" t="str">
        <f xml:space="preserve"> MID($AH$14, BK$13, 1)</f>
        <v>c</v>
      </c>
      <c r="BL14" s="446" t="str">
        <f xml:space="preserve"> MID($AH$14, BL$13, 1)</f>
        <v>b</v>
      </c>
      <c r="BM14" s="446" t="str">
        <f xml:space="preserve"> MID($AH$14, BM$13, 1)</f>
        <v>y</v>
      </c>
      <c r="BN14" s="446" t="str">
        <f xml:space="preserve"> MID($AH$14, BN$13, 1)</f>
        <v>h</v>
      </c>
      <c r="BO14" s="446" t="str">
        <f xml:space="preserve"> MID($AH$14, BO$13, 1)</f>
        <v>n</v>
      </c>
      <c r="BP14" s="446" t="str">
        <f xml:space="preserve"> MID($AH$14, BP$13, 1)</f>
        <v>B</v>
      </c>
      <c r="BQ14" s="446" t="str">
        <f xml:space="preserve"> MID($AH$14, BQ$13, 1)</f>
        <v>Y</v>
      </c>
      <c r="BR14" s="446" t="str">
        <f xml:space="preserve"> MID($AH$14, BR$13, 1)</f>
        <v>H</v>
      </c>
      <c r="BS14" s="446" t="str">
        <f xml:space="preserve"> MID($AH$14, BS$13, 1)</f>
        <v>N</v>
      </c>
      <c r="BT14" s="446" t="str">
        <f xml:space="preserve"> MID($AH$14, BT$13, 1)</f>
        <v>?</v>
      </c>
      <c r="BU14" s="446" t="str">
        <f xml:space="preserve"> MID($AH$14, BU$13, 1)</f>
        <v>u</v>
      </c>
      <c r="BV14" s="446" t="str">
        <f xml:space="preserve"> MID($AH$14, BV$13, 1)</f>
        <v>j</v>
      </c>
      <c r="BW14" s="446" t="str">
        <f xml:space="preserve"> MID($AH$14, BW$13, 1)</f>
        <v>m</v>
      </c>
      <c r="BX14" s="446" t="str">
        <f xml:space="preserve"> MID($AH$14, BX$13, 1)</f>
        <v>8</v>
      </c>
      <c r="BY14" s="446" t="str">
        <f xml:space="preserve"> MID($AH$14, BY$13, 1)</f>
        <v>i</v>
      </c>
      <c r="BZ14" s="446" t="str">
        <f xml:space="preserve"> MID($AH$14, BZ$13, 1)</f>
        <v>k</v>
      </c>
      <c r="CA14" s="446" t="str">
        <f xml:space="preserve"> MID($AH$14, CA$13, 1)</f>
        <v>,</v>
      </c>
      <c r="CB14" s="447" t="str">
        <f xml:space="preserve"> MID($AH$14, CB$13, 1)</f>
        <v>9</v>
      </c>
      <c r="CC14" s="446" t="str">
        <f xml:space="preserve"> MID($AH$14, CC$13, 1)</f>
        <v>l</v>
      </c>
      <c r="CD14" s="446" t="str">
        <f xml:space="preserve"> MID($AH$14, CD$13, 1)</f>
        <v>.</v>
      </c>
      <c r="CE14" s="446" t="str">
        <f xml:space="preserve"> MID($AH$14, CE$13, 1)</f>
        <v>0</v>
      </c>
      <c r="CF14" s="446" t="str">
        <f xml:space="preserve"> MID($AH$14, CF$13, 1)</f>
        <v>p</v>
      </c>
      <c r="CG14" s="446" t="str">
        <f xml:space="preserve"> MID($AH$14, CG$13, 1)</f>
        <v>;</v>
      </c>
      <c r="CH14" s="446" t="str">
        <f xml:space="preserve"> MID($AH$14, CH$13, 1)</f>
        <v>:</v>
      </c>
      <c r="CI14" s="446" t="str">
        <f xml:space="preserve"> MID($AH$14, CI$13, 1)</f>
        <v>/</v>
      </c>
      <c r="CJ14" s="446" t="str">
        <f xml:space="preserve"> MID($AH$14, CJ$13, 1)</f>
        <v>-</v>
      </c>
      <c r="CK14" s="446" t="str">
        <f xml:space="preserve"> MID($AH$14, CK$13, 1)</f>
        <v>O</v>
      </c>
      <c r="CL14" s="446" t="str">
        <f xml:space="preserve"> MID($AH$14, CL$13, 1)</f>
        <v>A</v>
      </c>
      <c r="CM14" s="447" t="str">
        <f xml:space="preserve"> MID($AH$14, CM$13, 1)</f>
        <v>U</v>
      </c>
      <c r="CN14" s="447" t="str">
        <f xml:space="preserve"> MID($AH$14, CN$13, 1)</f>
        <v>J</v>
      </c>
      <c r="CO14" s="447" t="str">
        <f xml:space="preserve"> MID($AH$14, CO$13, 1)</f>
        <v>*</v>
      </c>
      <c r="CP14" s="447" t="str">
        <f xml:space="preserve"> MID($AH$14, CP$13, 1)</f>
        <v>I</v>
      </c>
      <c r="CQ14" s="447" t="str">
        <f xml:space="preserve"> MID($AH$14, CQ$13, 1)</f>
        <v>&lt;</v>
      </c>
      <c r="CR14" s="447" t="str">
        <f xml:space="preserve"> MID($AH$14, CR$13, 1)</f>
        <v>(</v>
      </c>
      <c r="CS14" s="446" t="str">
        <f xml:space="preserve"> MID($AH$14, CS$13, 1)</f>
        <v>L</v>
      </c>
      <c r="CT14" s="446" t="str">
        <f xml:space="preserve"> MID($AH$14, CT$13, 1)</f>
        <v>4</v>
      </c>
      <c r="CU14" s="446" t="str">
        <f xml:space="preserve"> MID($AH$14, CU$13, 1)</f>
        <v>3</v>
      </c>
      <c r="CV14" s="446" t="str">
        <f xml:space="preserve"> MID($AH$14, CV$13, 1)</f>
        <v>6</v>
      </c>
      <c r="CW14" s="446" t="str">
        <f xml:space="preserve"> MID($AH$14, CW$13, 1)</f>
        <v>5</v>
      </c>
      <c r="CX14" s="446" t="str">
        <f xml:space="preserve"> MID($AH$14, CX$13, 1)</f>
        <v>7</v>
      </c>
    </row>
    <row r="15" spans="2:102" ht="32.25">
      <c r="B15" s="50" t="str">
        <f xml:space="preserve"> MID($B$11,B12+1, B13-B12-1)</f>
        <v>1!qa2wsxeEdcbyhnBYHN?ujm8ik,9l.0p;/-UJ*I&lt;(LOA:43657</v>
      </c>
      <c r="C15" s="51">
        <f xml:space="preserve"> LEN(B15)</f>
        <v>51</v>
      </c>
      <c r="H15" s="2">
        <f t="shared" si="2"/>
        <v>13</v>
      </c>
      <c r="I15" s="136" t="str">
        <f t="shared" si="3"/>
        <v>j</v>
      </c>
      <c r="J15" s="414" t="str">
        <f t="shared" si="4"/>
        <v>b</v>
      </c>
      <c r="L15" s="2">
        <v>13</v>
      </c>
      <c r="M15" s="415" t="str">
        <f t="shared" si="5"/>
        <v>b</v>
      </c>
      <c r="N15" s="21" t="str">
        <f t="shared" si="6"/>
        <v>ㆡ</v>
      </c>
      <c r="P15" s="2">
        <v>13</v>
      </c>
      <c r="Q15" s="22" t="str">
        <f t="shared" si="7"/>
        <v>s</v>
      </c>
      <c r="R15" s="22" t="str">
        <f t="shared" si="8"/>
        <v>ㄙ</v>
      </c>
      <c r="T15" s="2">
        <v>13</v>
      </c>
      <c r="U15" s="409" t="str">
        <f t="shared" si="9"/>
        <v>b</v>
      </c>
      <c r="V15" s="411" t="str">
        <f t="shared" si="10"/>
        <v>j</v>
      </c>
      <c r="W15" s="410" t="str" cm="1">
        <f t="array" ref="W15" xml:space="preserve"> INDEX($N$3:$N$53, MATCH(TRUE, EXACT(表格1_33411[[#This Row],[鍵盤按鍵]], $M$3:$M$53), 0))</f>
        <v>ㆡ</v>
      </c>
      <c r="X15" s="412" t="str" cm="1">
        <f t="array" ref="X15" xml:space="preserve"> INDEX(注音編碼對照表!$G$3:$G$58, MATCH(TRUE, EXACT(表格1_33411[[#This Row],[注音編碼]], 注音編碼對照表!$D$3:$D$54), 0))</f>
        <v>j</v>
      </c>
      <c r="Y15" s="24"/>
      <c r="Z15" s="413">
        <f t="shared" si="11"/>
        <v>13</v>
      </c>
      <c r="AA15" s="71" t="str">
        <f>U15</f>
        <v>b</v>
      </c>
      <c r="AB15" s="32" t="str" cm="1">
        <f t="array" ref="AB15">INDEX(注音編碼對照表!$E$3:$E$54,MATCH(TRUE,EXACT('RIME設定解析 (2)'!$AA15,注音編碼對照表!$C$3:$C$54),0))</f>
        <v>ㆡ</v>
      </c>
      <c r="AC15" s="379" t="str" cm="1">
        <f t="array" ref="AC15">INDEX(注音編碼對照表!$D$3:$D$54,MATCH(TRUE,EXACT('RIME設定解析 (2)'!$AA15,注音編碼對照表!$C$3:$C$54),0))</f>
        <v>j</v>
      </c>
      <c r="AD15" s="430" t="str" cm="1">
        <f t="array" ref="AD15">INDEX(注音編碼對照表!$G$3:$G$54,MATCH(TRUE,EXACT('RIME設定解析 (2)'!$AA15,注音編碼對照表!$C$3:$C$54),0))</f>
        <v>j</v>
      </c>
      <c r="AE15" s="2"/>
      <c r="AF15" s="426" t="s">
        <v>13</v>
      </c>
      <c r="AG15" s="1">
        <f xml:space="preserve"> LEN(AH15)</f>
        <v>51</v>
      </c>
      <c r="AH15" s="418" t="str">
        <f xml:space="preserve"> _xlfn.CONCAT($AB3:$AB$48, $AB$50:$AB54)</f>
        <v>ㄅㆠㄆㄇㄉㄊㄋㄌㄍㆣㄎㄏㆡㄗㄘㄙㆢㄐㄑㄒㄫㄧㄨㆬㄚㆦㄜㆤㄞㄠｎㄢㄣㄤㆲㆭㆨㆱㆰㆪㆫㆩㆧㆥㆮㆯˋ˪ˊ˫˙</v>
      </c>
      <c r="AV15" s="49" t="str">
        <f xml:space="preserve"> MID(AH15, AW14, 1)</f>
        <v>˫</v>
      </c>
      <c r="AW15" s="40"/>
      <c r="AX15" s="2"/>
      <c r="AY15" s="444" t="e">
        <f xml:space="preserve"> MID($AH$15, AY$13, 1)</f>
        <v>#VALUE!</v>
      </c>
      <c r="AZ15" s="445" t="str">
        <f xml:space="preserve"> MID($AH$15, AZ$13, 1)</f>
        <v>ㄅ</v>
      </c>
      <c r="BA15" s="445" t="str">
        <f xml:space="preserve"> MID($AH$15, BA$13, 1)</f>
        <v>ㆠ</v>
      </c>
      <c r="BB15" s="446" t="str">
        <f xml:space="preserve"> MID($AH$15, BB$13, 1)</f>
        <v>ㄆ</v>
      </c>
      <c r="BC15" s="446" t="str">
        <f xml:space="preserve"> MID($AH$15, BC$13, 1)</f>
        <v>ㄇ</v>
      </c>
      <c r="BD15" s="446" t="str">
        <f xml:space="preserve"> MID($AH$15, BD$13, 1)</f>
        <v>ㄉ</v>
      </c>
      <c r="BE15" s="446" t="str">
        <f xml:space="preserve"> MID($AH$15, BE$13, 1)</f>
        <v>ㄊ</v>
      </c>
      <c r="BF15" s="446" t="str">
        <f xml:space="preserve"> MID($AH$15, BF$13, 1)</f>
        <v>ㄋ</v>
      </c>
      <c r="BG15" s="446" t="str">
        <f xml:space="preserve"> MID($AH$15, BG$13, 1)</f>
        <v>ㄌ</v>
      </c>
      <c r="BH15" s="446" t="str">
        <f xml:space="preserve"> MID($AH$15, BH$13, 1)</f>
        <v>ㄍ</v>
      </c>
      <c r="BI15" s="446" t="str">
        <f xml:space="preserve"> MID($AH$15, BI$13, 1)</f>
        <v>ㆣ</v>
      </c>
      <c r="BJ15" s="446" t="str">
        <f xml:space="preserve"> MID($AH$15, BJ$13, 1)</f>
        <v>ㄎ</v>
      </c>
      <c r="BK15" s="446" t="str">
        <f xml:space="preserve"> MID($AH$15, BK$13, 1)</f>
        <v>ㄏ</v>
      </c>
      <c r="BL15" s="446" t="str">
        <f xml:space="preserve"> MID($AH$15, BL$13, 1)</f>
        <v>ㆡ</v>
      </c>
      <c r="BM15" s="446" t="str">
        <f xml:space="preserve"> MID($AH$15, BM$13, 1)</f>
        <v>ㄗ</v>
      </c>
      <c r="BN15" s="446" t="str">
        <f xml:space="preserve"> MID($AH$15, BN$13, 1)</f>
        <v>ㄘ</v>
      </c>
      <c r="BO15" s="446" t="str">
        <f xml:space="preserve"> MID($AH$15, BO$13, 1)</f>
        <v>ㄙ</v>
      </c>
      <c r="BP15" s="446" t="str">
        <f xml:space="preserve"> MID($AH$15, BP$13, 1)</f>
        <v>ㆢ</v>
      </c>
      <c r="BQ15" s="446" t="str">
        <f xml:space="preserve"> MID($AH$15, BQ$13, 1)</f>
        <v>ㄐ</v>
      </c>
      <c r="BR15" s="446" t="str">
        <f xml:space="preserve"> MID($AH$15, BR$13, 1)</f>
        <v>ㄑ</v>
      </c>
      <c r="BS15" s="446" t="str">
        <f xml:space="preserve"> MID($AH$15, BS$13, 1)</f>
        <v>ㄒ</v>
      </c>
      <c r="BT15" s="446" t="str">
        <f xml:space="preserve"> MID($AH$15, BT$13, 1)</f>
        <v>ㄫ</v>
      </c>
      <c r="BU15" s="446" t="str">
        <f xml:space="preserve"> MID($AH$15, BU$13, 1)</f>
        <v>ㄧ</v>
      </c>
      <c r="BV15" s="446" t="str">
        <f xml:space="preserve"> MID($AH$15, BV$13, 1)</f>
        <v>ㄨ</v>
      </c>
      <c r="BW15" s="446" t="str">
        <f xml:space="preserve"> MID($AH$15, BW$13, 1)</f>
        <v>ㆬ</v>
      </c>
      <c r="BX15" s="446" t="str">
        <f xml:space="preserve"> MID($AH$15, BX$13, 1)</f>
        <v>ㄚ</v>
      </c>
      <c r="BY15" s="446" t="str">
        <f xml:space="preserve"> MID($AH$15, BY$13, 1)</f>
        <v>ㆦ</v>
      </c>
      <c r="BZ15" s="446" t="str">
        <f xml:space="preserve"> MID($AH$15, BZ$13, 1)</f>
        <v>ㄜ</v>
      </c>
      <c r="CA15" s="446" t="str">
        <f xml:space="preserve"> MID($AH$15, CA$13, 1)</f>
        <v>ㆤ</v>
      </c>
      <c r="CB15" s="447" t="str">
        <f xml:space="preserve"> MID($AH$15, CB$13, 1)</f>
        <v>ㄞ</v>
      </c>
      <c r="CC15" s="446" t="str">
        <f xml:space="preserve"> MID($AH$15, CC$13, 1)</f>
        <v>ㄠ</v>
      </c>
      <c r="CD15" s="446" t="str">
        <f xml:space="preserve"> MID($AH$15, CD$13, 1)</f>
        <v>ｎ</v>
      </c>
      <c r="CE15" s="446" t="str">
        <f xml:space="preserve"> MID($AH$15, CE$13, 1)</f>
        <v>ㄢ</v>
      </c>
      <c r="CF15" s="446" t="str">
        <f xml:space="preserve"> MID($AH$15, CF$13, 1)</f>
        <v>ㄣ</v>
      </c>
      <c r="CG15" s="446" t="str">
        <f xml:space="preserve"> MID($AH$15, CG$13, 1)</f>
        <v>ㄤ</v>
      </c>
      <c r="CH15" s="446" t="str">
        <f xml:space="preserve"> MID($AH$15, CH$13, 1)</f>
        <v>ㆲ</v>
      </c>
      <c r="CI15" s="446" t="str">
        <f xml:space="preserve"> MID($AH$15, CI$13, 1)</f>
        <v>ㆭ</v>
      </c>
      <c r="CJ15" s="446" t="str">
        <f xml:space="preserve"> MID($AH$15, CJ$13, 1)</f>
        <v>ㆨ</v>
      </c>
      <c r="CK15" s="446" t="str">
        <f xml:space="preserve"> MID($AH$15, CK$13, 1)</f>
        <v>ㆱ</v>
      </c>
      <c r="CL15" s="446" t="str">
        <f xml:space="preserve"> MID($AH$15, CL$13, 1)</f>
        <v>ㆰ</v>
      </c>
      <c r="CM15" s="447" t="str">
        <f xml:space="preserve"> MID($AH$15, CM$13, 1)</f>
        <v>ㆪ</v>
      </c>
      <c r="CN15" s="447" t="str">
        <f xml:space="preserve"> MID($AH$15, CN$13, 1)</f>
        <v>ㆫ</v>
      </c>
      <c r="CO15" s="447" t="str">
        <f xml:space="preserve"> MID($AH$15, CO$13, 1)</f>
        <v>ㆩ</v>
      </c>
      <c r="CP15" s="447" t="str">
        <f xml:space="preserve"> MID($AH$15, CP$13, 1)</f>
        <v>ㆧ</v>
      </c>
      <c r="CQ15" s="447" t="str">
        <f xml:space="preserve"> MID($AH$15, CQ$13, 1)</f>
        <v>ㆥ</v>
      </c>
      <c r="CR15" s="447" t="str">
        <f xml:space="preserve"> MID($AH$15, CR$13, 1)</f>
        <v>ㆮ</v>
      </c>
      <c r="CS15" s="446" t="str">
        <f xml:space="preserve"> MID($AH$15, CS$13, 1)</f>
        <v>ㆯ</v>
      </c>
      <c r="CT15" s="446" t="str">
        <f xml:space="preserve"> MID($AH$15, CT$13, 1)</f>
        <v>ˋ</v>
      </c>
      <c r="CU15" s="446" t="str">
        <f xml:space="preserve"> MID($AH$15, CU$13, 1)</f>
        <v>˪</v>
      </c>
      <c r="CV15" s="446" t="str">
        <f xml:space="preserve"> MID($AH$15, CV$13, 1)</f>
        <v>ˊ</v>
      </c>
      <c r="CW15" s="446" t="str">
        <f xml:space="preserve"> MID($AH$15, CW$13, 1)</f>
        <v>˫</v>
      </c>
      <c r="CX15" s="446" t="str">
        <f xml:space="preserve"> MID($AH$15, CX$13, 1)</f>
        <v>˙</v>
      </c>
    </row>
    <row r="16" spans="2:102" ht="32.25">
      <c r="B16" s="416" t="str">
        <f xml:space="preserve"> MID($B$11,B13+1, B14-B13-1)</f>
        <v>ㄅㆠㄆㄇㄉㄊㄋㄌㄍㆣㄎㄏㆡㄗㄘㄙㆢㄐㄑㄒㄥㄧㄨㄇㄚㄛㄜㄝㄞㄠｎㄢㄣㄤㄥㄦㆪㆫㆩㆧㆥㆮㆯㆱㆰㆲˋ˪ˊ˫˙</v>
      </c>
      <c r="C16" s="51">
        <f xml:space="preserve"> LEN(B16)</f>
        <v>51</v>
      </c>
      <c r="H16" s="2">
        <f t="shared" si="2"/>
        <v>14</v>
      </c>
      <c r="I16" s="136" t="str">
        <f t="shared" si="3"/>
        <v>z</v>
      </c>
      <c r="J16" s="136" t="str">
        <f t="shared" si="4"/>
        <v>y</v>
      </c>
      <c r="L16" s="2">
        <v>14</v>
      </c>
      <c r="M16" s="21" t="str">
        <f t="shared" si="5"/>
        <v>y</v>
      </c>
      <c r="N16" s="21" t="str">
        <f t="shared" si="6"/>
        <v>ㄗ</v>
      </c>
      <c r="P16" s="2">
        <v>14</v>
      </c>
      <c r="Q16" s="22" t="str">
        <f t="shared" si="7"/>
        <v>h</v>
      </c>
      <c r="R16" s="22" t="str">
        <f t="shared" si="8"/>
        <v>ㄏ</v>
      </c>
      <c r="T16" s="2">
        <v>14</v>
      </c>
      <c r="U16" s="409" t="str">
        <f t="shared" si="9"/>
        <v>y</v>
      </c>
      <c r="V16" s="411" t="str">
        <f t="shared" si="10"/>
        <v>z</v>
      </c>
      <c r="W16" s="410" t="str" cm="1">
        <f t="array" ref="W16" xml:space="preserve"> INDEX($N$3:$N$53, MATCH(TRUE, EXACT(表格1_33411[[#This Row],[鍵盤按鍵]], $M$3:$M$53), 0))</f>
        <v>ㄗ</v>
      </c>
      <c r="X16" s="412" t="str" cm="1">
        <f t="array" ref="X16" xml:space="preserve"> INDEX(注音編碼對照表!$G$3:$G$58, MATCH(TRUE, EXACT(表格1_33411[[#This Row],[注音編碼]], 注音編碼對照表!$D$3:$D$54), 0))</f>
        <v>z</v>
      </c>
      <c r="Y16" s="24"/>
      <c r="Z16" s="413">
        <f t="shared" si="11"/>
        <v>14</v>
      </c>
      <c r="AA16" s="71" t="str">
        <f>U16</f>
        <v>y</v>
      </c>
      <c r="AB16" s="32" t="str" cm="1">
        <f t="array" ref="AB16">INDEX(注音編碼對照表!$E$3:$E$54,MATCH(TRUE,EXACT('RIME設定解析 (2)'!$AA16,注音編碼對照表!$C$3:$C$54),0))</f>
        <v>ㄗ</v>
      </c>
      <c r="AC16" s="379" t="str" cm="1">
        <f t="array" ref="AC16">INDEX(注音編碼對照表!$D$3:$D$54,MATCH(TRUE,EXACT('RIME設定解析 (2)'!$AA16,注音編碼對照表!$C$3:$C$54),0))</f>
        <v>z</v>
      </c>
      <c r="AD16" s="430" t="str" cm="1">
        <f t="array" ref="AD16">INDEX(注音編碼對照表!$G$3:$G$54,MATCH(TRUE,EXACT('RIME設定解析 (2)'!$AA16,注音編碼對照表!$C$3:$C$54),0))</f>
        <v>z</v>
      </c>
      <c r="AE16" s="2"/>
      <c r="AF16" s="421"/>
      <c r="AG16" s="2"/>
      <c r="AI16" s="54"/>
      <c r="AV16" s="11"/>
      <c r="AX16" s="2"/>
      <c r="AY16" s="443"/>
      <c r="BB16" s="2"/>
    </row>
    <row r="17" spans="2:54" ht="32.25">
      <c r="H17" s="2">
        <f t="shared" si="2"/>
        <v>15</v>
      </c>
      <c r="I17" s="136" t="str">
        <f t="shared" si="3"/>
        <v>c</v>
      </c>
      <c r="J17" s="136" t="str">
        <f t="shared" si="4"/>
        <v>h</v>
      </c>
      <c r="L17" s="2">
        <v>15</v>
      </c>
      <c r="M17" s="21" t="str">
        <f t="shared" si="5"/>
        <v>h</v>
      </c>
      <c r="N17" s="21" t="str">
        <f t="shared" si="6"/>
        <v>ㄘ</v>
      </c>
      <c r="P17" s="2">
        <v>15</v>
      </c>
      <c r="Q17" s="22" t="str">
        <f t="shared" si="7"/>
        <v>i</v>
      </c>
      <c r="R17" s="22" t="str">
        <f t="shared" si="8"/>
        <v>ㄧ</v>
      </c>
      <c r="T17" s="2">
        <v>15</v>
      </c>
      <c r="U17" s="409" t="str">
        <f t="shared" si="9"/>
        <v>h</v>
      </c>
      <c r="V17" s="411" t="str">
        <f t="shared" si="10"/>
        <v>c</v>
      </c>
      <c r="W17" s="410" t="str" cm="1">
        <f t="array" ref="W17" xml:space="preserve"> INDEX($N$3:$N$53, MATCH(TRUE, EXACT(表格1_33411[[#This Row],[鍵盤按鍵]], $M$3:$M$53), 0))</f>
        <v>ㄘ</v>
      </c>
      <c r="X17" s="412" t="str" cm="1">
        <f t="array" ref="X17" xml:space="preserve"> INDEX(注音編碼對照表!$G$3:$G$58, MATCH(TRUE, EXACT(表格1_33411[[#This Row],[注音編碼]], 注音編碼對照表!$D$3:$D$54), 0))</f>
        <v>c</v>
      </c>
      <c r="Y17" s="24"/>
      <c r="Z17" s="413">
        <f t="shared" si="11"/>
        <v>15</v>
      </c>
      <c r="AA17" s="71" t="str">
        <f>U17</f>
        <v>h</v>
      </c>
      <c r="AB17" s="32" t="str" cm="1">
        <f t="array" ref="AB17">INDEX(注音編碼對照表!$E$3:$E$54,MATCH(TRUE,EXACT('RIME設定解析 (2)'!$AA17,注音編碼對照表!$C$3:$C$54),0))</f>
        <v>ㄘ</v>
      </c>
      <c r="AC17" s="379" t="str" cm="1">
        <f t="array" ref="AC17">INDEX(注音編碼對照表!$D$3:$D$54,MATCH(TRUE,EXACT('RIME設定解析 (2)'!$AA17,注音編碼對照表!$C$3:$C$54),0))</f>
        <v>c</v>
      </c>
      <c r="AD17" s="430" t="str" cm="1">
        <f t="array" ref="AD17">INDEX(注音編碼對照表!$G$3:$G$54,MATCH(TRUE,EXACT('RIME設定解析 (2)'!$AA17,注音編碼對照表!$C$3:$C$54),0))</f>
        <v>c</v>
      </c>
      <c r="AE17" s="2"/>
      <c r="AF17" s="422" t="s">
        <v>45</v>
      </c>
      <c r="AG17" s="2"/>
      <c r="AH17" s="459" t="str">
        <f xml:space="preserve"> """xlit|" &amp; AH18 &amp; "|" &amp; AH19 &amp; "|"""</f>
        <v>"xlit|pbPmtTnlkgKhjzcsJZCSwiuMaOoeyxB@NGHWRDVIUAQEYX123570|ㄅㆠㄆㄇㄉㄊㄋㄌㄍㆣㄎㄏㆡㄗㄘㄙㆢㄐㄑㄒㄫㄧㄨㆬㄚㆦㄜㆤㄞㄠｎㄢㄣㄤㆲㆭㆨㆱㆰㆪㆫㆩㆧㆥㆮㆯˉˋ˪ˊ˫˙|"</v>
      </c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60"/>
      <c r="AX17" s="2"/>
      <c r="AY17" s="443"/>
      <c r="BB17" s="2"/>
    </row>
    <row r="18" spans="2:54" ht="32.25">
      <c r="H18" s="2">
        <f t="shared" si="2"/>
        <v>16</v>
      </c>
      <c r="I18" s="136" t="str">
        <f t="shared" si="3"/>
        <v>s</v>
      </c>
      <c r="J18" s="136" t="str">
        <f t="shared" si="4"/>
        <v>n</v>
      </c>
      <c r="L18" s="2">
        <v>16</v>
      </c>
      <c r="M18" s="21" t="str">
        <f t="shared" si="5"/>
        <v>n</v>
      </c>
      <c r="N18" s="21" t="str">
        <f t="shared" si="6"/>
        <v>ㄙ</v>
      </c>
      <c r="P18" s="2">
        <v>16</v>
      </c>
      <c r="Q18" s="22" t="str">
        <f t="shared" si="7"/>
        <v>u</v>
      </c>
      <c r="R18" s="22" t="str">
        <f t="shared" si="8"/>
        <v>ㄨ</v>
      </c>
      <c r="T18" s="2">
        <v>16</v>
      </c>
      <c r="U18" s="409" t="str">
        <f t="shared" si="9"/>
        <v>n</v>
      </c>
      <c r="V18" s="411" t="str">
        <f t="shared" si="10"/>
        <v>s</v>
      </c>
      <c r="W18" s="410" t="str" cm="1">
        <f t="array" ref="W18" xml:space="preserve"> INDEX($N$3:$N$53, MATCH(TRUE, EXACT(表格1_33411[[#This Row],[鍵盤按鍵]], $M$3:$M$53), 0))</f>
        <v>ㄙ</v>
      </c>
      <c r="X18" s="412" t="str" cm="1">
        <f t="array" ref="X18" xml:space="preserve"> INDEX(注音編碼對照表!$G$3:$G$58, MATCH(TRUE, EXACT(表格1_33411[[#This Row],[注音編碼]], 注音編碼對照表!$D$3:$D$54), 0))</f>
        <v>s</v>
      </c>
      <c r="Y18" s="24"/>
      <c r="Z18" s="413">
        <f t="shared" si="11"/>
        <v>16</v>
      </c>
      <c r="AA18" s="71" t="str">
        <f>U18</f>
        <v>n</v>
      </c>
      <c r="AB18" s="32" t="str" cm="1">
        <f t="array" ref="AB18">INDEX(注音編碼對照表!$E$3:$E$54,MATCH(TRUE,EXACT('RIME設定解析 (2)'!$AA18,注音編碼對照表!$C$3:$C$54),0))</f>
        <v>ㄙ</v>
      </c>
      <c r="AC18" s="379" t="str" cm="1">
        <f t="array" ref="AC18">INDEX(注音編碼對照表!$D$3:$D$54,MATCH(TRUE,EXACT('RIME設定解析 (2)'!$AA18,注音編碼對照表!$C$3:$C$54),0))</f>
        <v>s</v>
      </c>
      <c r="AD18" s="430" t="str" cm="1">
        <f t="array" ref="AD18">INDEX(注音編碼對照表!$G$3:$G$54,MATCH(TRUE,EXACT('RIME設定解析 (2)'!$AA18,注音編碼對照表!$C$3:$C$54),0))</f>
        <v>s</v>
      </c>
      <c r="AE18" s="2"/>
      <c r="AF18" s="423" t="s">
        <v>585</v>
      </c>
      <c r="AG18" s="1">
        <f xml:space="preserve"> LEN(AH18)</f>
        <v>52</v>
      </c>
      <c r="AH18" s="37" t="str">
        <f xml:space="preserve"> _xlfn.CONCAT(AC$3:AC$54)</f>
        <v>pbPmtTnlkgKhjzcsJZCSwiuMaOoeyxB@NGHWRDVIUAQEYX123570</v>
      </c>
      <c r="AU18" s="38" t="s">
        <v>25</v>
      </c>
      <c r="AV18" s="462" t="str">
        <f>AV9</f>
        <v>7</v>
      </c>
      <c r="AW18" s="40">
        <f xml:space="preserve"> FIND(AV18, AH18)</f>
        <v>51</v>
      </c>
      <c r="AX18" s="2"/>
      <c r="AY18" s="443"/>
      <c r="BB18" s="2"/>
    </row>
    <row r="19" spans="2:54" ht="32.25">
      <c r="H19" s="2">
        <f t="shared" si="2"/>
        <v>17</v>
      </c>
      <c r="I19" s="136" t="str">
        <f t="shared" si="3"/>
        <v>J</v>
      </c>
      <c r="J19" s="414" t="str">
        <f t="shared" si="4"/>
        <v>B</v>
      </c>
      <c r="L19" s="2">
        <v>17</v>
      </c>
      <c r="M19" s="415" t="str">
        <f t="shared" si="5"/>
        <v>B</v>
      </c>
      <c r="N19" s="21" t="str">
        <f t="shared" si="6"/>
        <v>ㆢ</v>
      </c>
      <c r="P19" s="2">
        <v>17</v>
      </c>
      <c r="Q19" s="22" t="str">
        <f t="shared" si="7"/>
        <v>a</v>
      </c>
      <c r="R19" s="22" t="str">
        <f t="shared" si="8"/>
        <v>ㄚ</v>
      </c>
      <c r="T19" s="2">
        <v>17</v>
      </c>
      <c r="U19" s="409" t="str">
        <f t="shared" si="9"/>
        <v>B</v>
      </c>
      <c r="V19" s="411" t="str">
        <f t="shared" si="10"/>
        <v>J</v>
      </c>
      <c r="W19" s="410" t="str" cm="1">
        <f t="array" ref="W19" xml:space="preserve"> INDEX($N$3:$N$53, MATCH(TRUE, EXACT(表格1_33411[[#This Row],[鍵盤按鍵]], $M$3:$M$53), 0))</f>
        <v>ㆢ</v>
      </c>
      <c r="X19" s="412" t="str" cm="1">
        <f t="array" ref="X19" xml:space="preserve"> INDEX(注音編碼對照表!$G$3:$G$58, MATCH(TRUE, EXACT(表格1_33411[[#This Row],[注音編碼]], 注音編碼對照表!$D$3:$D$54), 0))</f>
        <v>ji-</v>
      </c>
      <c r="Y19" s="24"/>
      <c r="Z19" s="413">
        <f t="shared" si="11"/>
        <v>17</v>
      </c>
      <c r="AA19" s="71" t="str">
        <f>U19</f>
        <v>B</v>
      </c>
      <c r="AB19" s="32" t="str" cm="1">
        <f t="array" ref="AB19">INDEX(注音編碼對照表!$E$3:$E$54,MATCH(TRUE,EXACT('RIME設定解析 (2)'!$AA19,注音編碼對照表!$C$3:$C$54),0))</f>
        <v>ㆢ</v>
      </c>
      <c r="AC19" s="379" t="str" cm="1">
        <f t="array" ref="AC19">INDEX(注音編碼對照表!$D$3:$D$54,MATCH(TRUE,EXACT('RIME設定解析 (2)'!$AA19,注音編碼對照表!$C$3:$C$54),0))</f>
        <v>J</v>
      </c>
      <c r="AD19" s="430" t="str" cm="1">
        <f t="array" ref="AD19">INDEX(注音編碼對照表!$G$3:$G$54,MATCH(TRUE,EXACT('RIME設定解析 (2)'!$AA19,注音編碼對照表!$C$3:$C$54),0))</f>
        <v>ji-</v>
      </c>
      <c r="AE19" s="2"/>
      <c r="AF19" s="426" t="s">
        <v>641</v>
      </c>
      <c r="AG19" s="1">
        <f xml:space="preserve"> LEN(AH19)</f>
        <v>52</v>
      </c>
      <c r="AH19" s="427" t="str">
        <f xml:space="preserve"> _xlfn.CONCAT(AB3:AB54)</f>
        <v>ㄅㆠㄆㄇㄉㄊㄋㄌㄍㆣㄎㄏㆡㄗㄘㄙㆢㄐㄑㄒㄫㄧㄨㆬㄚㆦㄜㆤㄞㄠｎㄢㄣㄤㆲㆭㆨㆱㆰㆪㆫㆩㆧㆥㆮㆯˉˋ˪ˊ˫˙</v>
      </c>
      <c r="AV19" s="49" t="str">
        <f xml:space="preserve"> MID(AH19, AW18, 1)</f>
        <v>˫</v>
      </c>
      <c r="AW19" s="40"/>
      <c r="AX19" s="2"/>
      <c r="AY19" s="443"/>
      <c r="BB19" s="2"/>
    </row>
    <row r="20" spans="2:54" ht="32.25">
      <c r="B20" s="1" t="s">
        <v>60</v>
      </c>
      <c r="H20" s="2">
        <f t="shared" si="2"/>
        <v>18</v>
      </c>
      <c r="I20" s="136" t="str">
        <f t="shared" si="3"/>
        <v>Z</v>
      </c>
      <c r="J20" s="414" t="str">
        <f t="shared" si="4"/>
        <v>Y</v>
      </c>
      <c r="L20" s="2">
        <v>18</v>
      </c>
      <c r="M20" s="415" t="str">
        <f t="shared" ref="M20:M22" si="12">J20</f>
        <v>Y</v>
      </c>
      <c r="N20" s="21" t="str">
        <f t="shared" si="6"/>
        <v>ㄐ</v>
      </c>
      <c r="P20" s="2">
        <v>18</v>
      </c>
      <c r="Q20" s="22" t="str">
        <f t="shared" si="7"/>
        <v>o</v>
      </c>
      <c r="R20" s="22" t="str">
        <f t="shared" si="8"/>
        <v>ㆦ</v>
      </c>
      <c r="T20" s="2">
        <v>18</v>
      </c>
      <c r="U20" s="409" t="str">
        <f t="shared" si="9"/>
        <v>Y</v>
      </c>
      <c r="V20" s="411" t="str">
        <f t="shared" si="10"/>
        <v>Z</v>
      </c>
      <c r="W20" s="410" t="str" cm="1">
        <f t="array" ref="W20" xml:space="preserve"> INDEX($N$3:$N$53, MATCH(TRUE, EXACT(表格1_33411[[#This Row],[鍵盤按鍵]], $M$3:$M$53), 0))</f>
        <v>ㄐ</v>
      </c>
      <c r="X20" s="412" t="str" cm="1">
        <f t="array" ref="X20" xml:space="preserve"> INDEX(注音編碼對照表!$G$3:$G$58, MATCH(TRUE, EXACT(表格1_33411[[#This Row],[注音編碼]], 注音編碼對照表!$D$3:$D$54), 0))</f>
        <v>zi-</v>
      </c>
      <c r="Y20" s="24"/>
      <c r="Z20" s="413">
        <f t="shared" si="11"/>
        <v>18</v>
      </c>
      <c r="AA20" s="71" t="str">
        <f>U20</f>
        <v>Y</v>
      </c>
      <c r="AB20" s="32" t="str" cm="1">
        <f t="array" ref="AB20">INDEX(注音編碼對照表!$E$3:$E$54,MATCH(TRUE,EXACT('RIME設定解析 (2)'!$AA20,注音編碼對照表!$C$3:$C$54),0))</f>
        <v>ㄐ</v>
      </c>
      <c r="AC20" s="379" t="str" cm="1">
        <f t="array" ref="AC20">INDEX(注音編碼對照表!$D$3:$D$54,MATCH(TRUE,EXACT('RIME設定解析 (2)'!$AA20,注音編碼對照表!$C$3:$C$54),0))</f>
        <v>Z</v>
      </c>
      <c r="AD20" s="430" t="str" cm="1">
        <f t="array" ref="AD20">INDEX(注音編碼對照表!$G$3:$G$54,MATCH(TRUE,EXACT('RIME設定解析 (2)'!$AA20,注音編碼對照表!$C$3:$C$54),0))</f>
        <v>zi-</v>
      </c>
      <c r="AE20" s="2"/>
      <c r="AF20" s="421"/>
      <c r="AG20" s="2"/>
      <c r="AV20" s="11"/>
      <c r="AX20" s="2"/>
      <c r="AY20" s="443"/>
      <c r="BB20" s="2"/>
    </row>
    <row r="21" spans="2:54" ht="32.25">
      <c r="B21" s="12" t="s">
        <v>63</v>
      </c>
      <c r="H21" s="2">
        <f t="shared" si="2"/>
        <v>19</v>
      </c>
      <c r="I21" s="136" t="str">
        <f t="shared" si="3"/>
        <v>C</v>
      </c>
      <c r="J21" s="414" t="str">
        <f t="shared" si="4"/>
        <v>H</v>
      </c>
      <c r="L21" s="2">
        <v>19</v>
      </c>
      <c r="M21" s="415" t="str">
        <f t="shared" si="12"/>
        <v>H</v>
      </c>
      <c r="N21" s="21" t="str">
        <f t="shared" si="6"/>
        <v>ㄑ</v>
      </c>
      <c r="P21" s="2">
        <v>19</v>
      </c>
      <c r="Q21" s="22" t="str">
        <f t="shared" si="7"/>
        <v>ø</v>
      </c>
      <c r="R21" s="22" t="str">
        <f t="shared" si="8"/>
        <v>ㄜ</v>
      </c>
      <c r="T21" s="2">
        <v>19</v>
      </c>
      <c r="U21" s="409" t="str">
        <f t="shared" si="9"/>
        <v>H</v>
      </c>
      <c r="V21" s="411" t="str">
        <f t="shared" si="10"/>
        <v>C</v>
      </c>
      <c r="W21" s="410" t="str" cm="1">
        <f t="array" ref="W21" xml:space="preserve"> INDEX($N$3:$N$53, MATCH(TRUE, EXACT(表格1_33411[[#This Row],[鍵盤按鍵]], $M$3:$M$53), 0))</f>
        <v>ㄑ</v>
      </c>
      <c r="X21" s="412" t="str" cm="1">
        <f t="array" ref="X21" xml:space="preserve"> INDEX(注音編碼對照表!$G$3:$G$58, MATCH(TRUE, EXACT(表格1_33411[[#This Row],[注音編碼]], 注音編碼對照表!$D$3:$D$54), 0))</f>
        <v>ci-</v>
      </c>
      <c r="Y21" s="24"/>
      <c r="Z21" s="413">
        <f t="shared" si="11"/>
        <v>19</v>
      </c>
      <c r="AA21" s="71" t="str">
        <f>U21</f>
        <v>H</v>
      </c>
      <c r="AB21" s="32" t="str" cm="1">
        <f t="array" ref="AB21">INDEX(注音編碼對照表!$E$3:$E$54,MATCH(TRUE,EXACT('RIME設定解析 (2)'!$AA21,注音編碼對照表!$C$3:$C$54),0))</f>
        <v>ㄑ</v>
      </c>
      <c r="AC21" s="379" t="str" cm="1">
        <f t="array" ref="AC21">INDEX(注音編碼對照表!$D$3:$D$54,MATCH(TRUE,EXACT('RIME設定解析 (2)'!$AA21,注音編碼對照表!$C$3:$C$54),0))</f>
        <v>C</v>
      </c>
      <c r="AD21" s="430" t="str" cm="1">
        <f t="array" ref="AD21">INDEX(注音編碼對照表!$G$3:$G$54,MATCH(TRUE,EXACT('RIME設定解析 (2)'!$AA21,注音編碼對照表!$C$3:$C$54),0))</f>
        <v>ci-</v>
      </c>
      <c r="AE21" s="2"/>
      <c r="AF21" s="421"/>
      <c r="AG21" s="2"/>
      <c r="AV21" s="11"/>
      <c r="AX21" s="2"/>
      <c r="AY21" s="443"/>
      <c r="BB21" s="2"/>
    </row>
    <row r="22" spans="2:54" ht="32.25">
      <c r="B22" s="2">
        <f xml:space="preserve"> SEARCH("|",B21,1)</f>
        <v>7</v>
      </c>
      <c r="H22" s="2">
        <f t="shared" si="2"/>
        <v>20</v>
      </c>
      <c r="I22" s="136" t="str">
        <f t="shared" si="3"/>
        <v>S</v>
      </c>
      <c r="J22" s="414" t="str">
        <f t="shared" si="4"/>
        <v>N</v>
      </c>
      <c r="L22" s="2">
        <v>20</v>
      </c>
      <c r="M22" s="415" t="str">
        <f t="shared" si="12"/>
        <v>N</v>
      </c>
      <c r="N22" s="21" t="str">
        <f t="shared" si="6"/>
        <v>ㄒ</v>
      </c>
      <c r="P22" s="2">
        <v>20</v>
      </c>
      <c r="Q22" s="22" t="str">
        <f t="shared" si="7"/>
        <v>e</v>
      </c>
      <c r="R22" s="22" t="str">
        <f t="shared" si="8"/>
        <v>ㆤ</v>
      </c>
      <c r="T22" s="2">
        <v>20</v>
      </c>
      <c r="U22" s="409" t="str">
        <f t="shared" si="9"/>
        <v>N</v>
      </c>
      <c r="V22" s="411" t="str">
        <f t="shared" si="10"/>
        <v>S</v>
      </c>
      <c r="W22" s="410" t="str" cm="1">
        <f t="array" ref="W22" xml:space="preserve"> INDEX($N$3:$N$53, MATCH(TRUE, EXACT(表格1_33411[[#This Row],[鍵盤按鍵]], $M$3:$M$53), 0))</f>
        <v>ㄒ</v>
      </c>
      <c r="X22" s="412" t="str" cm="1">
        <f t="array" ref="X22" xml:space="preserve"> INDEX(注音編碼對照表!$G$3:$G$58, MATCH(TRUE, EXACT(表格1_33411[[#This Row],[注音編碼]], 注音編碼對照表!$D$3:$D$54), 0))</f>
        <v>si-</v>
      </c>
      <c r="Y22" s="24"/>
      <c r="Z22" s="413">
        <f t="shared" si="11"/>
        <v>20</v>
      </c>
      <c r="AA22" s="71" t="str">
        <f>U22</f>
        <v>N</v>
      </c>
      <c r="AB22" s="32" t="str" cm="1">
        <f t="array" ref="AB22">INDEX(注音編碼對照表!$E$3:$E$54,MATCH(TRUE,EXACT('RIME設定解析 (2)'!$AA22,注音編碼對照表!$C$3:$C$54),0))</f>
        <v>ㄒ</v>
      </c>
      <c r="AC22" s="379" t="str" cm="1">
        <f t="array" ref="AC22">INDEX(注音編碼對照表!$D$3:$D$54,MATCH(TRUE,EXACT('RIME設定解析 (2)'!$AA22,注音編碼對照表!$C$3:$C$54),0))</f>
        <v>S</v>
      </c>
      <c r="AD22" s="430" t="str" cm="1">
        <f t="array" ref="AD22">INDEX(注音編碼對照表!$G$3:$G$54,MATCH(TRUE,EXACT('RIME設定解析 (2)'!$AA22,注音編碼對照表!$C$3:$C$54),0))</f>
        <v>si-</v>
      </c>
      <c r="AE22" s="2"/>
      <c r="AF22" s="421"/>
      <c r="AG22" s="2"/>
      <c r="AV22" s="11"/>
      <c r="AX22" s="2"/>
      <c r="AY22" s="443"/>
      <c r="BB22" s="2"/>
    </row>
    <row r="23" spans="2:54" ht="32.25">
      <c r="B23" s="2">
        <f xml:space="preserve"> SEARCH("|",B21,B22+1)</f>
        <v>34</v>
      </c>
      <c r="H23" s="2">
        <f t="shared" si="2"/>
        <v>21</v>
      </c>
      <c r="I23" s="136" t="str">
        <f t="shared" si="3"/>
        <v>w</v>
      </c>
      <c r="J23" s="136" t="str">
        <f t="shared" si="4"/>
        <v>?</v>
      </c>
      <c r="L23" s="2">
        <v>21</v>
      </c>
      <c r="M23" s="21" t="str">
        <f t="shared" ref="M23:M54" si="13" xml:space="preserve"> IFERROR( MID($B$15, $H23, 1), "")</f>
        <v>?</v>
      </c>
      <c r="N23" s="21" t="str">
        <f t="shared" si="6"/>
        <v>ㄥ</v>
      </c>
      <c r="P23" s="2">
        <v>21</v>
      </c>
      <c r="Q23" s="22" t="str">
        <f t="shared" si="7"/>
        <v>I</v>
      </c>
      <c r="R23" s="22" t="str">
        <f t="shared" si="8"/>
        <v>ㄞ</v>
      </c>
      <c r="T23" s="2">
        <v>21</v>
      </c>
      <c r="U23" s="409" t="str">
        <f t="shared" si="9"/>
        <v>?</v>
      </c>
      <c r="V23" s="411" t="str">
        <f t="shared" si="10"/>
        <v>w</v>
      </c>
      <c r="W23" s="410" t="str" cm="1">
        <f t="array" ref="W23" xml:space="preserve"> INDEX($N$3:$N$53, MATCH(TRUE, EXACT(表格1_33411[[#This Row],[鍵盤按鍵]], $M$3:$M$53), 0))</f>
        <v>ㄥ</v>
      </c>
      <c r="X23" s="412" t="str" cm="1">
        <f t="array" ref="X23" xml:space="preserve"> INDEX(注音編碼對照表!$G$3:$G$58, MATCH(TRUE, EXACT(表格1_33411[[#This Row],[注音編碼]], 注音編碼對照表!$D$3:$D$54), 0))</f>
        <v>ng-</v>
      </c>
      <c r="Y23" s="24"/>
      <c r="Z23" s="413">
        <f t="shared" si="11"/>
        <v>21</v>
      </c>
      <c r="AA23" s="71" t="str">
        <f>U23</f>
        <v>?</v>
      </c>
      <c r="AB23" s="32" t="str" cm="1">
        <f t="array" ref="AB23">INDEX(注音編碼對照表!$E$3:$E$54,MATCH(TRUE,EXACT('RIME設定解析 (2)'!$AA23,注音編碼對照表!$C$3:$C$54),0))</f>
        <v>ㄫ</v>
      </c>
      <c r="AC23" s="379" t="str" cm="1">
        <f t="array" ref="AC23">INDEX(注音編碼對照表!$D$3:$D$54,MATCH(TRUE,EXACT('RIME設定解析 (2)'!$AA23,注音編碼對照表!$C$3:$C$54),0))</f>
        <v>w</v>
      </c>
      <c r="AD23" s="430" t="str" cm="1">
        <f t="array" ref="AD23">INDEX(注音編碼對照表!$G$3:$G$54,MATCH(TRUE,EXACT('RIME設定解析 (2)'!$AA23,注音編碼對照表!$C$3:$C$54),0))</f>
        <v>ng-</v>
      </c>
      <c r="AE23" s="2"/>
      <c r="AF23" s="421"/>
      <c r="AG23" s="2"/>
      <c r="AV23" s="11"/>
      <c r="AX23" s="2"/>
      <c r="AY23" s="443"/>
      <c r="BB23" s="2"/>
    </row>
    <row r="24" spans="2:54" ht="32.25">
      <c r="B24" s="2">
        <f xml:space="preserve"> SEARCH("|",B21,B23+1)</f>
        <v>61</v>
      </c>
      <c r="H24" s="2">
        <f t="shared" si="2"/>
        <v>22</v>
      </c>
      <c r="I24" s="136" t="str">
        <f t="shared" si="3"/>
        <v>i</v>
      </c>
      <c r="J24" s="136" t="str">
        <f t="shared" si="4"/>
        <v>u</v>
      </c>
      <c r="L24" s="2">
        <v>22</v>
      </c>
      <c r="M24" s="21" t="str">
        <f t="shared" si="13"/>
        <v>u</v>
      </c>
      <c r="N24" s="21" t="str">
        <f t="shared" si="6"/>
        <v>ㄧ</v>
      </c>
      <c r="P24" s="2">
        <v>22</v>
      </c>
      <c r="Q24" s="22" t="str">
        <f t="shared" si="7"/>
        <v>U</v>
      </c>
      <c r="R24" s="22" t="str">
        <f t="shared" si="8"/>
        <v>ㄠ</v>
      </c>
      <c r="T24" s="2">
        <v>22</v>
      </c>
      <c r="U24" s="409" t="str">
        <f t="shared" si="9"/>
        <v>u</v>
      </c>
      <c r="V24" s="411" t="str">
        <f t="shared" si="10"/>
        <v>i</v>
      </c>
      <c r="W24" s="410" t="str" cm="1">
        <f t="array" ref="W24" xml:space="preserve"> INDEX($N$3:$N$53, MATCH(TRUE, EXACT(表格1_33411[[#This Row],[鍵盤按鍵]], $M$3:$M$53), 0))</f>
        <v>ㄧ</v>
      </c>
      <c r="X24" s="412" t="str" cm="1">
        <f t="array" ref="X24" xml:space="preserve"> INDEX(注音編碼對照表!$G$3:$G$58, MATCH(TRUE, EXACT(表格1_33411[[#This Row],[注音編碼]], 注音編碼對照表!$D$3:$D$54), 0))</f>
        <v>i</v>
      </c>
      <c r="Y24" s="24"/>
      <c r="Z24" s="98">
        <f t="shared" si="11"/>
        <v>22</v>
      </c>
      <c r="AA24" s="71" t="str">
        <f>U24</f>
        <v>u</v>
      </c>
      <c r="AB24" s="32" t="str" cm="1">
        <f t="array" ref="AB24">INDEX(注音編碼對照表!$E$3:$E$54,MATCH(TRUE,EXACT('RIME設定解析 (2)'!$AA24,注音編碼對照表!$C$3:$C$54),0))</f>
        <v>ㄧ</v>
      </c>
      <c r="AC24" s="379" t="str" cm="1">
        <f t="array" ref="AC24">INDEX(注音編碼對照表!$D$3:$D$54,MATCH(TRUE,EXACT('RIME設定解析 (2)'!$AA24,注音編碼對照表!$C$3:$C$54),0))</f>
        <v>i</v>
      </c>
      <c r="AD24" s="430" t="str" cm="1">
        <f t="array" ref="AD24">INDEX(注音編碼對照表!$G$3:$G$54,MATCH(TRUE,EXACT('RIME設定解析 (2)'!$AA24,注音編碼對照表!$C$3:$C$54),0))</f>
        <v>i</v>
      </c>
      <c r="AE24" s="2"/>
      <c r="AF24" s="421"/>
      <c r="AG24" s="2"/>
      <c r="AV24" s="11"/>
      <c r="AX24" s="2"/>
      <c r="AY24" s="443"/>
      <c r="BB24" s="2"/>
    </row>
    <row r="25" spans="2:54" ht="32.25">
      <c r="B25" s="50" t="str">
        <f xml:space="preserve"> MID(B21,B22+1, B24-B23-1)</f>
        <v>pPbtTdkKgcCzshiuaoøeIUBDGN</v>
      </c>
      <c r="C25" s="51">
        <f xml:space="preserve"> LEN(B25)</f>
        <v>26</v>
      </c>
      <c r="H25" s="2">
        <f t="shared" si="2"/>
        <v>23</v>
      </c>
      <c r="I25" s="136" t="str">
        <f t="shared" si="3"/>
        <v>u</v>
      </c>
      <c r="J25" s="136" t="str">
        <f t="shared" si="4"/>
        <v>j</v>
      </c>
      <c r="L25" s="2">
        <v>23</v>
      </c>
      <c r="M25" s="21" t="str">
        <f t="shared" si="13"/>
        <v>j</v>
      </c>
      <c r="N25" s="21" t="str">
        <f t="shared" si="6"/>
        <v>ㄨ</v>
      </c>
      <c r="P25" s="2">
        <v>23</v>
      </c>
      <c r="Q25" s="22" t="str">
        <f t="shared" si="7"/>
        <v>B</v>
      </c>
      <c r="R25" s="22" t="str">
        <f t="shared" si="8"/>
        <v>ㆬ</v>
      </c>
      <c r="T25" s="2">
        <v>23</v>
      </c>
      <c r="U25" s="409" t="str">
        <f t="shared" si="9"/>
        <v>j</v>
      </c>
      <c r="V25" s="411" t="str">
        <f t="shared" si="10"/>
        <v>u</v>
      </c>
      <c r="W25" s="410" t="str" cm="1">
        <f t="array" ref="W25" xml:space="preserve"> INDEX($N$3:$N$53, MATCH(TRUE, EXACT(表格1_33411[[#This Row],[鍵盤按鍵]], $M$3:$M$53), 0))</f>
        <v>ㄨ</v>
      </c>
      <c r="X25" s="412" t="str" cm="1">
        <f t="array" ref="X25" xml:space="preserve"> INDEX(注音編碼對照表!$G$3:$G$58, MATCH(TRUE, EXACT(表格1_33411[[#This Row],[注音編碼]], 注音編碼對照表!$D$3:$D$54), 0))</f>
        <v>u</v>
      </c>
      <c r="Y25" s="24"/>
      <c r="Z25" s="98">
        <f t="shared" si="11"/>
        <v>23</v>
      </c>
      <c r="AA25" s="71" t="str">
        <f>U25</f>
        <v>j</v>
      </c>
      <c r="AB25" s="32" t="str" cm="1">
        <f t="array" ref="AB25">INDEX(注音編碼對照表!$E$3:$E$54,MATCH(TRUE,EXACT('RIME設定解析 (2)'!$AA25,注音編碼對照表!$C$3:$C$54),0))</f>
        <v>ㄨ</v>
      </c>
      <c r="AC25" s="379" t="str" cm="1">
        <f t="array" ref="AC25">INDEX(注音編碼對照表!$D$3:$D$54,MATCH(TRUE,EXACT('RIME設定解析 (2)'!$AA25,注音編碼對照表!$C$3:$C$54),0))</f>
        <v>u</v>
      </c>
      <c r="AD25" s="430" t="str" cm="1">
        <f t="array" ref="AD25">INDEX(注音編碼對照表!$G$3:$G$54,MATCH(TRUE,EXACT('RIME設定解析 (2)'!$AA25,注音編碼對照表!$C$3:$C$54),0))</f>
        <v>u</v>
      </c>
      <c r="AE25" s="2"/>
      <c r="AF25" s="421"/>
      <c r="AG25" s="2"/>
      <c r="AV25" s="11"/>
      <c r="AX25" s="2"/>
      <c r="AY25" s="443"/>
      <c r="BB25" s="2"/>
    </row>
    <row r="26" spans="2:54" ht="32.25">
      <c r="B26" s="50" t="str">
        <f xml:space="preserve"> MID(B21,B23+1, B24-B23-1)</f>
        <v>ㄅㄆㆠㄉㄊㄌㄍㄎㆣㄗㄘㆡㄙㄏㄧㄨㄚㆦㄜㆤㄞㄠㆬㄣㆭｎ</v>
      </c>
      <c r="C26" s="51">
        <f xml:space="preserve"> LEN(B26)</f>
        <v>26</v>
      </c>
      <c r="H26" s="2">
        <f t="shared" si="2"/>
        <v>24</v>
      </c>
      <c r="I26" s="136" t="str">
        <f t="shared" si="3"/>
        <v>M</v>
      </c>
      <c r="J26" s="136" t="str">
        <f t="shared" si="4"/>
        <v>m</v>
      </c>
      <c r="L26" s="2">
        <v>24</v>
      </c>
      <c r="M26" s="21" t="str">
        <f t="shared" si="13"/>
        <v>m</v>
      </c>
      <c r="N26" s="21" t="str">
        <f t="shared" si="6"/>
        <v>ㄇ</v>
      </c>
      <c r="P26" s="2">
        <v>24</v>
      </c>
      <c r="Q26" s="22" t="str">
        <f t="shared" si="7"/>
        <v>D</v>
      </c>
      <c r="R26" s="22" t="str">
        <f t="shared" si="8"/>
        <v>ㄣ</v>
      </c>
      <c r="T26" s="2">
        <v>24</v>
      </c>
      <c r="U26" s="409" t="str">
        <f t="shared" si="9"/>
        <v>m</v>
      </c>
      <c r="V26" s="411" t="str">
        <f t="shared" si="10"/>
        <v>M</v>
      </c>
      <c r="W26" s="410" t="str" cm="1">
        <f t="array" ref="W26" xml:space="preserve"> INDEX($N$3:$N$53, MATCH(TRUE, EXACT(表格1_33411[[#This Row],[鍵盤按鍵]], $M$3:$M$53), 0))</f>
        <v>ㄇ</v>
      </c>
      <c r="X26" s="412" t="str" cm="1">
        <f t="array" ref="X26" xml:space="preserve"> INDEX(注音編碼對照表!$G$3:$G$58, MATCH(TRUE, EXACT(表格1_33411[[#This Row],[注音編碼]], 注音編碼對照表!$D$3:$D$54), 0))</f>
        <v>-m</v>
      </c>
      <c r="Y26" s="24"/>
      <c r="Z26" s="98">
        <f t="shared" si="11"/>
        <v>24</v>
      </c>
      <c r="AA26" s="71" t="str">
        <f>U26</f>
        <v>m</v>
      </c>
      <c r="AB26" s="32" t="str" cm="1">
        <f t="array" ref="AB26">INDEX(注音編碼對照表!$E$3:$E$54,MATCH(TRUE,EXACT('RIME設定解析 (2)'!$AA26,注音編碼對照表!$C$3:$C$54),0))</f>
        <v>ㆬ</v>
      </c>
      <c r="AC26" s="379" t="str" cm="1">
        <f t="array" ref="AC26">INDEX(注音編碼對照表!$D$3:$D$54,MATCH(TRUE,EXACT('RIME設定解析 (2)'!$AA26,注音編碼對照表!$C$3:$C$54),0))</f>
        <v>M</v>
      </c>
      <c r="AD26" s="430" t="str" cm="1">
        <f t="array" ref="AD26">INDEX(注音編碼對照表!$G$3:$G$54,MATCH(TRUE,EXACT('RIME設定解析 (2)'!$AA26,注音編碼對照表!$C$3:$C$54),0))</f>
        <v>-m</v>
      </c>
      <c r="AE26" s="2"/>
      <c r="AF26" s="421" t="s">
        <v>67</v>
      </c>
      <c r="AG26" s="2"/>
      <c r="AV26" s="11"/>
      <c r="AX26" s="2"/>
      <c r="AY26" s="443"/>
      <c r="BB26" s="2"/>
    </row>
    <row r="27" spans="2:54" ht="32.25">
      <c r="H27" s="2">
        <f t="shared" si="2"/>
        <v>25</v>
      </c>
      <c r="I27" s="136" t="str">
        <f t="shared" si="3"/>
        <v>a</v>
      </c>
      <c r="J27" s="136" t="str">
        <f t="shared" si="4"/>
        <v>8</v>
      </c>
      <c r="L27" s="2">
        <v>25</v>
      </c>
      <c r="M27" s="21" t="str">
        <f t="shared" si="13"/>
        <v>8</v>
      </c>
      <c r="N27" s="21" t="str">
        <f t="shared" si="6"/>
        <v>ㄚ</v>
      </c>
      <c r="P27" s="2">
        <v>25</v>
      </c>
      <c r="Q27" s="22" t="str">
        <f t="shared" si="7"/>
        <v>G</v>
      </c>
      <c r="R27" s="22" t="str">
        <f t="shared" si="8"/>
        <v>ㆭ</v>
      </c>
      <c r="T27" s="2">
        <v>25</v>
      </c>
      <c r="U27" s="409" t="str">
        <f t="shared" si="9"/>
        <v>8</v>
      </c>
      <c r="V27" s="411" t="str">
        <f t="shared" si="10"/>
        <v>a</v>
      </c>
      <c r="W27" s="410" t="str" cm="1">
        <f t="array" ref="W27" xml:space="preserve"> INDEX($N$3:$N$53, MATCH(TRUE, EXACT(表格1_33411[[#This Row],[鍵盤按鍵]], $M$3:$M$53), 0))</f>
        <v>ㄚ</v>
      </c>
      <c r="X27" s="412" t="str" cm="1">
        <f t="array" ref="X27" xml:space="preserve"> INDEX(注音編碼對照表!$G$3:$G$58, MATCH(TRUE, EXACT(表格1_33411[[#This Row],[注音編碼]], 注音編碼對照表!$D$3:$D$54), 0))</f>
        <v>a</v>
      </c>
      <c r="Y27" s="24"/>
      <c r="Z27" s="98">
        <f t="shared" si="11"/>
        <v>25</v>
      </c>
      <c r="AA27" s="71" t="str">
        <f>U27</f>
        <v>8</v>
      </c>
      <c r="AB27" s="32" t="str" cm="1">
        <f t="array" ref="AB27">INDEX(注音編碼對照表!$E$3:$E$54,MATCH(TRUE,EXACT('RIME設定解析 (2)'!$AA27,注音編碼對照表!$C$3:$C$54),0))</f>
        <v>ㄚ</v>
      </c>
      <c r="AC27" s="379" t="str" cm="1">
        <f t="array" ref="AC27">INDEX(注音編碼對照表!$D$3:$D$54,MATCH(TRUE,EXACT('RIME設定解析 (2)'!$AA27,注音編碼對照表!$C$3:$C$54),0))</f>
        <v>a</v>
      </c>
      <c r="AD27" s="430" t="str" cm="1">
        <f t="array" ref="AD27">INDEX(注音編碼對照表!$G$3:$G$54,MATCH(TRUE,EXACT('RIME設定解析 (2)'!$AA27,注音編碼對照表!$C$3:$C$54),0))</f>
        <v>a</v>
      </c>
      <c r="AE27" s="2"/>
      <c r="AF27" s="421" t="s">
        <v>121</v>
      </c>
      <c r="AG27" s="2"/>
      <c r="AV27" s="11"/>
      <c r="AX27" s="2"/>
      <c r="AY27" s="443"/>
      <c r="BB27" s="2"/>
    </row>
    <row r="28" spans="2:54" ht="32.25">
      <c r="H28" s="2">
        <f t="shared" si="2"/>
        <v>26</v>
      </c>
      <c r="I28" s="136" t="str">
        <f t="shared" si="3"/>
        <v>O</v>
      </c>
      <c r="J28" s="136" t="str">
        <f t="shared" si="4"/>
        <v>i</v>
      </c>
      <c r="L28" s="2">
        <v>26</v>
      </c>
      <c r="M28" s="21" t="str">
        <f t="shared" si="13"/>
        <v>i</v>
      </c>
      <c r="N28" s="21" t="str">
        <f t="shared" si="6"/>
        <v>ㄛ</v>
      </c>
      <c r="P28" s="2">
        <v>26</v>
      </c>
      <c r="Q28" s="22" t="str">
        <f t="shared" si="7"/>
        <v>N</v>
      </c>
      <c r="R28" s="22" t="str">
        <f t="shared" si="8"/>
        <v>ｎ</v>
      </c>
      <c r="T28" s="2">
        <v>26</v>
      </c>
      <c r="U28" s="409" t="str">
        <f t="shared" si="9"/>
        <v>i</v>
      </c>
      <c r="V28" s="411" t="str">
        <f t="shared" si="10"/>
        <v>O</v>
      </c>
      <c r="W28" s="410" t="str" cm="1">
        <f t="array" ref="W28" xml:space="preserve"> INDEX($N$3:$N$53, MATCH(TRUE, EXACT(表格1_33411[[#This Row],[鍵盤按鍵]], $M$3:$M$53), 0))</f>
        <v>ㄛ</v>
      </c>
      <c r="X28" s="412" t="str" cm="1">
        <f t="array" ref="X28" xml:space="preserve"> INDEX(注音編碼對照表!$G$3:$G$58, MATCH(TRUE, EXACT(表格1_33411[[#This Row],[注音編碼]], 注音編碼對照表!$D$3:$D$54), 0))</f>
        <v>oo</v>
      </c>
      <c r="Y28" s="24"/>
      <c r="Z28" s="98">
        <f t="shared" si="11"/>
        <v>26</v>
      </c>
      <c r="AA28" s="71" t="str">
        <f>U28</f>
        <v>i</v>
      </c>
      <c r="AB28" s="32" t="str" cm="1">
        <f t="array" ref="AB28">INDEX(注音編碼對照表!$E$3:$E$54,MATCH(TRUE,EXACT('RIME設定解析 (2)'!$AA28,注音編碼對照表!$C$3:$C$54),0))</f>
        <v>ㆦ</v>
      </c>
      <c r="AC28" s="379" t="str" cm="1">
        <f t="array" ref="AC28">INDEX(注音編碼對照表!$D$3:$D$54,MATCH(TRUE,EXACT('RIME設定解析 (2)'!$AA28,注音編碼對照表!$C$3:$C$54),0))</f>
        <v>O</v>
      </c>
      <c r="AD28" s="430" t="str" cm="1">
        <f t="array" ref="AD28">INDEX(注音編碼對照表!$G$3:$G$54,MATCH(TRUE,EXACT('RIME設定解析 (2)'!$AA28,注音編碼對照表!$C$3:$C$54),0))</f>
        <v>oo</v>
      </c>
      <c r="AE28" s="2"/>
      <c r="AF28" s="421" t="s">
        <v>473</v>
      </c>
      <c r="AG28" s="2"/>
      <c r="AV28" s="11"/>
      <c r="AX28" s="2"/>
      <c r="AY28" s="443"/>
      <c r="BB28" s="2"/>
    </row>
    <row r="29" spans="2:54" ht="32.25">
      <c r="H29" s="2">
        <f t="shared" si="2"/>
        <v>27</v>
      </c>
      <c r="I29" s="136" t="str">
        <f t="shared" si="3"/>
        <v>o</v>
      </c>
      <c r="J29" s="136" t="str">
        <f t="shared" si="4"/>
        <v>k</v>
      </c>
      <c r="L29" s="2">
        <v>27</v>
      </c>
      <c r="M29" s="21" t="str">
        <f t="shared" si="13"/>
        <v>k</v>
      </c>
      <c r="N29" s="21" t="str">
        <f t="shared" si="6"/>
        <v>ㄜ</v>
      </c>
      <c r="P29" s="2">
        <v>27</v>
      </c>
      <c r="Q29" s="22" t="str">
        <f t="shared" si="7"/>
        <v/>
      </c>
      <c r="R29" s="22" t="str">
        <f t="shared" si="8"/>
        <v/>
      </c>
      <c r="T29" s="2">
        <v>27</v>
      </c>
      <c r="U29" s="409" t="str">
        <f t="shared" si="9"/>
        <v>k</v>
      </c>
      <c r="V29" s="411" t="str">
        <f t="shared" si="10"/>
        <v>o</v>
      </c>
      <c r="W29" s="410" t="str" cm="1">
        <f t="array" ref="W29" xml:space="preserve"> INDEX($N$3:$N$53, MATCH(TRUE, EXACT(表格1_33411[[#This Row],[鍵盤按鍵]], $M$3:$M$53), 0))</f>
        <v>ㄜ</v>
      </c>
      <c r="X29" s="412" t="str" cm="1">
        <f t="array" ref="X29" xml:space="preserve"> INDEX(注音編碼對照表!$G$3:$G$58, MATCH(TRUE, EXACT(表格1_33411[[#This Row],[注音編碼]], 注音編碼對照表!$D$3:$D$54), 0))</f>
        <v>o</v>
      </c>
      <c r="Y29" s="24"/>
      <c r="Z29" s="98">
        <f t="shared" si="11"/>
        <v>27</v>
      </c>
      <c r="AA29" s="71" t="str">
        <f>U29</f>
        <v>k</v>
      </c>
      <c r="AB29" s="32" t="str" cm="1">
        <f t="array" ref="AB29">INDEX(注音編碼對照表!$E$3:$E$54,MATCH(TRUE,EXACT('RIME設定解析 (2)'!$AA29,注音編碼對照表!$C$3:$C$54),0))</f>
        <v>ㄜ</v>
      </c>
      <c r="AC29" s="379" t="str" cm="1">
        <f t="array" ref="AC29">INDEX(注音編碼對照表!$D$3:$D$54,MATCH(TRUE,EXACT('RIME設定解析 (2)'!$AA29,注音編碼對照表!$C$3:$C$54),0))</f>
        <v>o</v>
      </c>
      <c r="AD29" s="430" t="str" cm="1">
        <f t="array" ref="AD29">INDEX(注音編碼對照表!$G$3:$G$54,MATCH(TRUE,EXACT('RIME設定解析 (2)'!$AA29,注音編碼對照表!$C$3:$C$54),0))</f>
        <v>o</v>
      </c>
      <c r="AE29" s="2"/>
      <c r="AF29" s="421" t="s">
        <v>61</v>
      </c>
      <c r="AG29" s="2"/>
      <c r="AV29" s="11"/>
      <c r="AX29" s="2"/>
      <c r="AY29" s="443"/>
      <c r="BB29" s="2"/>
    </row>
    <row r="30" spans="2:54" ht="32.25">
      <c r="H30" s="2">
        <f t="shared" si="2"/>
        <v>28</v>
      </c>
      <c r="I30" s="136" t="str">
        <f t="shared" si="3"/>
        <v>e</v>
      </c>
      <c r="J30" s="136" t="str">
        <f t="shared" si="4"/>
        <v>,</v>
      </c>
      <c r="L30" s="2">
        <v>28</v>
      </c>
      <c r="M30" s="21" t="str">
        <f t="shared" si="13"/>
        <v>,</v>
      </c>
      <c r="N30" s="21" t="str">
        <f t="shared" si="6"/>
        <v>ㄝ</v>
      </c>
      <c r="P30" s="2">
        <v>28</v>
      </c>
      <c r="Q30" s="22" t="str">
        <f t="shared" si="7"/>
        <v/>
      </c>
      <c r="R30" s="22" t="str">
        <f t="shared" si="8"/>
        <v/>
      </c>
      <c r="T30" s="2">
        <v>28</v>
      </c>
      <c r="U30" s="409" t="str">
        <f t="shared" si="9"/>
        <v>,</v>
      </c>
      <c r="V30" s="411" t="str">
        <f t="shared" si="10"/>
        <v>e</v>
      </c>
      <c r="W30" s="410" t="str" cm="1">
        <f t="array" ref="W30" xml:space="preserve"> INDEX($N$3:$N$53, MATCH(TRUE, EXACT(表格1_33411[[#This Row],[鍵盤按鍵]], $M$3:$M$53), 0))</f>
        <v>ㄝ</v>
      </c>
      <c r="X30" s="412" t="str" cm="1">
        <f t="array" ref="X30" xml:space="preserve"> INDEX(注音編碼對照表!$G$3:$G$58, MATCH(TRUE, EXACT(表格1_33411[[#This Row],[注音編碼]], 注音編碼對照表!$D$3:$D$54), 0))</f>
        <v>e</v>
      </c>
      <c r="Y30" s="24"/>
      <c r="Z30" s="98">
        <f t="shared" si="11"/>
        <v>28</v>
      </c>
      <c r="AA30" s="71" t="str">
        <f>U30</f>
        <v>,</v>
      </c>
      <c r="AB30" s="32" t="str" cm="1">
        <f t="array" ref="AB30">INDEX(注音編碼對照表!$E$3:$E$54,MATCH(TRUE,EXACT('RIME設定解析 (2)'!$AA30,注音編碼對照表!$C$3:$C$54),0))</f>
        <v>ㆤ</v>
      </c>
      <c r="AC30" s="379" t="str" cm="1">
        <f t="array" ref="AC30">INDEX(注音編碼對照表!$D$3:$D$54,MATCH(TRUE,EXACT('RIME設定解析 (2)'!$AA30,注音編碼對照表!$C$3:$C$54),0))</f>
        <v>e</v>
      </c>
      <c r="AD30" s="430" t="str" cm="1">
        <f t="array" ref="AD30">INDEX(注音編碼對照表!$G$3:$G$54,MATCH(TRUE,EXACT('RIME設定解析 (2)'!$AA30,注音編碼對照表!$C$3:$C$54),0))</f>
        <v>e</v>
      </c>
      <c r="AE30" s="2"/>
      <c r="AF30" s="421" t="s">
        <v>119</v>
      </c>
      <c r="AG30" s="2"/>
      <c r="AV30" s="11"/>
      <c r="AX30" s="2"/>
      <c r="AY30" s="443"/>
      <c r="BB30" s="2"/>
    </row>
    <row r="31" spans="2:54" ht="32.25">
      <c r="H31" s="2">
        <f t="shared" si="2"/>
        <v>29</v>
      </c>
      <c r="I31" s="136" t="str">
        <f t="shared" si="3"/>
        <v>y</v>
      </c>
      <c r="J31" s="136" t="str">
        <f t="shared" si="4"/>
        <v>9</v>
      </c>
      <c r="L31" s="2">
        <v>29</v>
      </c>
      <c r="M31" s="21" t="str">
        <f t="shared" si="13"/>
        <v>9</v>
      </c>
      <c r="N31" s="21" t="str">
        <f t="shared" si="6"/>
        <v>ㄞ</v>
      </c>
      <c r="P31" s="2">
        <v>29</v>
      </c>
      <c r="Q31" s="22" t="str">
        <f t="shared" si="7"/>
        <v/>
      </c>
      <c r="R31" s="22" t="str">
        <f t="shared" si="8"/>
        <v/>
      </c>
      <c r="T31" s="2">
        <v>29</v>
      </c>
      <c r="U31" s="409" t="str">
        <f t="shared" si="9"/>
        <v>9</v>
      </c>
      <c r="V31" s="411" t="str">
        <f t="shared" si="10"/>
        <v>y</v>
      </c>
      <c r="W31" s="410" t="str" cm="1">
        <f t="array" ref="W31" xml:space="preserve"> INDEX($N$3:$N$53, MATCH(TRUE, EXACT(表格1_33411[[#This Row],[鍵盤按鍵]], $M$3:$M$53), 0))</f>
        <v>ㄞ</v>
      </c>
      <c r="X31" s="412" t="str" cm="1">
        <f t="array" ref="X31" xml:space="preserve"> INDEX(注音編碼對照表!$G$3:$G$58, MATCH(TRUE, EXACT(表格1_33411[[#This Row],[注音編碼]], 注音編碼對照表!$D$3:$D$54), 0))</f>
        <v>ai</v>
      </c>
      <c r="Y31" s="24"/>
      <c r="Z31" s="98">
        <f t="shared" si="11"/>
        <v>29</v>
      </c>
      <c r="AA31" s="71" t="str">
        <f>U31</f>
        <v>9</v>
      </c>
      <c r="AB31" s="32" t="str" cm="1">
        <f t="array" ref="AB31">INDEX(注音編碼對照表!$E$3:$E$54,MATCH(TRUE,EXACT('RIME設定解析 (2)'!$AA31,注音編碼對照表!$C$3:$C$54),0))</f>
        <v>ㄞ</v>
      </c>
      <c r="AC31" s="379" t="str" cm="1">
        <f t="array" ref="AC31">INDEX(注音編碼對照表!$D$3:$D$54,MATCH(TRUE,EXACT('RIME設定解析 (2)'!$AA31,注音編碼對照表!$C$3:$C$54),0))</f>
        <v>y</v>
      </c>
      <c r="AD31" s="430" t="str" cm="1">
        <f t="array" ref="AD31">INDEX(注音編碼對照表!$G$3:$G$54,MATCH(TRUE,EXACT('RIME設定解析 (2)'!$AA31,注音編碼對照表!$C$3:$C$54),0))</f>
        <v>ai</v>
      </c>
      <c r="AE31" s="2"/>
      <c r="AF31" s="421" t="s">
        <v>241</v>
      </c>
      <c r="AG31" s="2"/>
      <c r="AV31" s="11"/>
      <c r="AX31" s="2"/>
      <c r="AY31" s="443"/>
      <c r="BB31" s="2"/>
    </row>
    <row r="32" spans="2:54" ht="32.25">
      <c r="H32" s="2">
        <f t="shared" si="2"/>
        <v>30</v>
      </c>
      <c r="I32" s="136" t="str">
        <f t="shared" si="3"/>
        <v>x</v>
      </c>
      <c r="J32" s="136" t="str">
        <f t="shared" si="4"/>
        <v>l</v>
      </c>
      <c r="L32" s="2">
        <v>30</v>
      </c>
      <c r="M32" s="21" t="str">
        <f t="shared" si="13"/>
        <v>l</v>
      </c>
      <c r="N32" s="21" t="str">
        <f t="shared" si="6"/>
        <v>ㄠ</v>
      </c>
      <c r="P32" s="2">
        <v>30</v>
      </c>
      <c r="Q32" s="22" t="str">
        <f t="shared" si="7"/>
        <v/>
      </c>
      <c r="R32" s="22" t="str">
        <f t="shared" si="8"/>
        <v/>
      </c>
      <c r="T32" s="2">
        <v>30</v>
      </c>
      <c r="U32" s="409" t="str">
        <f t="shared" si="9"/>
        <v>l</v>
      </c>
      <c r="V32" s="411" t="str">
        <f t="shared" si="10"/>
        <v>x</v>
      </c>
      <c r="W32" s="410" t="str" cm="1">
        <f t="array" ref="W32" xml:space="preserve"> INDEX($N$3:$N$53, MATCH(TRUE, EXACT(表格1_33411[[#This Row],[鍵盤按鍵]], $M$3:$M$53), 0))</f>
        <v>ㄠ</v>
      </c>
      <c r="X32" s="412" t="str" cm="1">
        <f t="array" ref="X32" xml:space="preserve"> INDEX(注音編碼對照表!$G$3:$G$58, MATCH(TRUE, EXACT(表格1_33411[[#This Row],[注音編碼]], 注音編碼對照表!$D$3:$D$54), 0))</f>
        <v>au</v>
      </c>
      <c r="Y32" s="24"/>
      <c r="Z32" s="98">
        <f t="shared" si="11"/>
        <v>30</v>
      </c>
      <c r="AA32" s="71" t="str">
        <f>U32</f>
        <v>l</v>
      </c>
      <c r="AB32" s="32" t="str" cm="1">
        <f t="array" ref="AB32">INDEX(注音編碼對照表!$E$3:$E$54,MATCH(TRUE,EXACT('RIME設定解析 (2)'!$AA32,注音編碼對照表!$C$3:$C$54),0))</f>
        <v>ㄠ</v>
      </c>
      <c r="AC32" s="379" t="str" cm="1">
        <f t="array" ref="AC32">INDEX(注音編碼對照表!$D$3:$D$54,MATCH(TRUE,EXACT('RIME設定解析 (2)'!$AA32,注音編碼對照表!$C$3:$C$54),0))</f>
        <v>x</v>
      </c>
      <c r="AD32" s="430" t="str" cm="1">
        <f t="array" ref="AD32">INDEX(注音編碼對照表!$G$3:$G$54,MATCH(TRUE,EXACT('RIME設定解析 (2)'!$AA32,注音編碼對照表!$C$3:$C$54),0))</f>
        <v>au</v>
      </c>
      <c r="AE32" s="2"/>
      <c r="AF32" s="421" t="s">
        <v>117</v>
      </c>
      <c r="AG32" s="2"/>
      <c r="AV32" s="11"/>
      <c r="AX32" s="2"/>
      <c r="AY32" s="443"/>
      <c r="BB32" s="2"/>
    </row>
    <row r="33" spans="2:54" ht="32.25">
      <c r="H33" s="2">
        <f t="shared" si="2"/>
        <v>31</v>
      </c>
      <c r="I33" s="136" t="str">
        <f t="shared" si="3"/>
        <v>B</v>
      </c>
      <c r="J33" s="136" t="str">
        <f t="shared" si="4"/>
        <v>.</v>
      </c>
      <c r="L33" s="2">
        <v>31</v>
      </c>
      <c r="M33" s="21" t="str">
        <f t="shared" si="13"/>
        <v>.</v>
      </c>
      <c r="N33" s="21" t="str">
        <f t="shared" si="6"/>
        <v>ｎ</v>
      </c>
      <c r="P33" s="2">
        <v>31</v>
      </c>
      <c r="Q33" s="22" t="str">
        <f t="shared" si="7"/>
        <v/>
      </c>
      <c r="R33" s="22" t="str">
        <f t="shared" si="8"/>
        <v/>
      </c>
      <c r="T33" s="2">
        <v>31</v>
      </c>
      <c r="U33" s="409" t="str">
        <f t="shared" si="9"/>
        <v>.</v>
      </c>
      <c r="V33" s="411" t="str">
        <f t="shared" si="10"/>
        <v>B</v>
      </c>
      <c r="W33" s="410" t="str" cm="1">
        <f t="array" ref="W33" xml:space="preserve"> INDEX($N$3:$N$53, MATCH(TRUE, EXACT(表格1_33411[[#This Row],[鍵盤按鍵]], $M$3:$M$53), 0))</f>
        <v>ｎ</v>
      </c>
      <c r="X33" s="412" t="str" cm="1">
        <f t="array" ref="X33" xml:space="preserve"> INDEX(注音編碼對照表!$G$3:$G$58, MATCH(TRUE, EXACT(表格1_33411[[#This Row],[注音編碼]], 注音編碼對照表!$D$3:$D$54), 0))</f>
        <v>-nn</v>
      </c>
      <c r="Y33" s="24"/>
      <c r="Z33" s="98">
        <f t="shared" si="11"/>
        <v>31</v>
      </c>
      <c r="AA33" s="71" t="str">
        <f>U33</f>
        <v>.</v>
      </c>
      <c r="AB33" s="32" t="str" cm="1">
        <f t="array" ref="AB33">INDEX(注音編碼對照表!$E$3:$E$54,MATCH(TRUE,EXACT('RIME設定解析 (2)'!$AA33,注音編碼對照表!$C$3:$C$54),0))</f>
        <v>ｎ</v>
      </c>
      <c r="AC33" s="379" t="str" cm="1">
        <f t="array" ref="AC33">INDEX(注音編碼對照表!$D$3:$D$54,MATCH(TRUE,EXACT('RIME設定解析 (2)'!$AA33,注音編碼對照表!$C$3:$C$54),0))</f>
        <v>B</v>
      </c>
      <c r="AD33" s="430" t="str" cm="1">
        <f t="array" ref="AD33">INDEX(注音編碼對照表!$G$3:$G$54,MATCH(TRUE,EXACT('RIME設定解析 (2)'!$AA33,注音編碼對照表!$C$3:$C$54),0))</f>
        <v>-nn</v>
      </c>
      <c r="AE33" s="2"/>
      <c r="AF33" s="421" t="s">
        <v>72</v>
      </c>
      <c r="AG33" s="2"/>
      <c r="AV33" s="11"/>
      <c r="AX33" s="2"/>
      <c r="AY33" s="443"/>
      <c r="BB33" s="2"/>
    </row>
    <row r="34" spans="2:54" ht="32.25">
      <c r="H34" s="2">
        <f t="shared" si="2"/>
        <v>32</v>
      </c>
      <c r="I34" s="136" t="str">
        <f t="shared" si="3"/>
        <v>@</v>
      </c>
      <c r="J34" s="136" t="str">
        <f t="shared" si="4"/>
        <v>0</v>
      </c>
      <c r="L34" s="2">
        <v>32</v>
      </c>
      <c r="M34" s="21" t="str">
        <f t="shared" si="13"/>
        <v>0</v>
      </c>
      <c r="N34" s="21" t="str">
        <f t="shared" si="6"/>
        <v>ㄢ</v>
      </c>
      <c r="P34" s="2">
        <v>32</v>
      </c>
      <c r="Q34" s="22" t="str">
        <f t="shared" si="7"/>
        <v/>
      </c>
      <c r="R34" s="22" t="str">
        <f t="shared" si="8"/>
        <v/>
      </c>
      <c r="T34" s="2">
        <v>32</v>
      </c>
      <c r="U34" s="409" t="str">
        <f t="shared" si="9"/>
        <v>0</v>
      </c>
      <c r="V34" s="411" t="str">
        <f t="shared" si="10"/>
        <v>@</v>
      </c>
      <c r="W34" s="410" t="str" cm="1">
        <f t="array" ref="W34" xml:space="preserve"> INDEX($N$3:$N$53, MATCH(TRUE, EXACT(表格1_33411[[#This Row],[鍵盤按鍵]], $M$3:$M$53), 0))</f>
        <v>ㄢ</v>
      </c>
      <c r="X34" s="412" t="str" cm="1">
        <f t="array" ref="X34" xml:space="preserve"> INDEX(注音編碼對照表!$G$3:$G$58, MATCH(TRUE, EXACT(表格1_33411[[#This Row],[注音編碼]], 注音編碼對照表!$D$3:$D$54), 0))</f>
        <v>an</v>
      </c>
      <c r="Y34" s="24"/>
      <c r="Z34" s="98">
        <f t="shared" si="11"/>
        <v>32</v>
      </c>
      <c r="AA34" s="71" t="str">
        <f>U34</f>
        <v>0</v>
      </c>
      <c r="AB34" s="32" t="str" cm="1">
        <f t="array" ref="AB34">INDEX(注音編碼對照表!$E$3:$E$54,MATCH(TRUE,EXACT('RIME設定解析 (2)'!$AA34,注音編碼對照表!$C$3:$C$54),0))</f>
        <v>ㄢ</v>
      </c>
      <c r="AC34" s="379" t="str" cm="1">
        <f t="array" ref="AC34">INDEX(注音編碼對照表!$D$3:$D$54,MATCH(TRUE,EXACT('RIME設定解析 (2)'!$AA34,注音編碼對照表!$C$3:$C$54),0))</f>
        <v>@</v>
      </c>
      <c r="AD34" s="430" t="str" cm="1">
        <f t="array" ref="AD34">INDEX(注音編碼對照表!$G$3:$G$54,MATCH(TRUE,EXACT('RIME設定解析 (2)'!$AA34,注音編碼對照表!$C$3:$C$54),0))</f>
        <v>an</v>
      </c>
      <c r="AE34" s="2"/>
      <c r="AF34" s="421" t="s">
        <v>123</v>
      </c>
      <c r="AG34" s="2"/>
      <c r="AV34" s="11"/>
      <c r="AX34" s="2"/>
      <c r="AY34" s="443"/>
      <c r="BB34" s="2"/>
    </row>
    <row r="35" spans="2:54" ht="32.25">
      <c r="H35" s="2">
        <f t="shared" si="2"/>
        <v>33</v>
      </c>
      <c r="I35" s="136" t="str">
        <f t="shared" si="3"/>
        <v>N</v>
      </c>
      <c r="J35" s="136" t="str">
        <f t="shared" si="4"/>
        <v>p</v>
      </c>
      <c r="L35" s="2">
        <v>33</v>
      </c>
      <c r="M35" s="21" t="str">
        <f t="shared" si="13"/>
        <v>p</v>
      </c>
      <c r="N35" s="21" t="str">
        <f t="shared" si="6"/>
        <v>ㄣ</v>
      </c>
      <c r="P35" s="2">
        <v>33</v>
      </c>
      <c r="Q35" s="22" t="str">
        <f t="shared" si="7"/>
        <v/>
      </c>
      <c r="R35" s="22" t="str">
        <f t="shared" si="8"/>
        <v/>
      </c>
      <c r="T35" s="2">
        <v>33</v>
      </c>
      <c r="U35" s="409" t="str">
        <f t="shared" si="9"/>
        <v>p</v>
      </c>
      <c r="V35" s="411" t="str">
        <f t="shared" si="10"/>
        <v>N</v>
      </c>
      <c r="W35" s="410" t="str" cm="1">
        <f t="array" ref="W35" xml:space="preserve"> INDEX($N$3:$N$53, MATCH(TRUE, EXACT(表格1_33411[[#This Row],[鍵盤按鍵]], $M$3:$M$53), 0))</f>
        <v>ㄣ</v>
      </c>
      <c r="X35" s="412" t="str" cm="1">
        <f t="array" ref="X35" xml:space="preserve"> INDEX(注音編碼對照表!$G$3:$G$58, MATCH(TRUE, EXACT(表格1_33411[[#This Row],[注音編碼]], 注音編碼對照表!$D$3:$D$54), 0))</f>
        <v>-n</v>
      </c>
      <c r="Y35" s="24"/>
      <c r="Z35" s="98">
        <f t="shared" si="11"/>
        <v>33</v>
      </c>
      <c r="AA35" s="71" t="str">
        <f>U35</f>
        <v>p</v>
      </c>
      <c r="AB35" s="32" t="str" cm="1">
        <f t="array" ref="AB35">INDEX(注音編碼對照表!$E$3:$E$54,MATCH(TRUE,EXACT('RIME設定解析 (2)'!$AA35,注音編碼對照表!$C$3:$C$54),0))</f>
        <v>ㄣ</v>
      </c>
      <c r="AC35" s="379" t="str" cm="1">
        <f t="array" ref="AC35">INDEX(注音編碼對照表!$D$3:$D$54,MATCH(TRUE,EXACT('RIME設定解析 (2)'!$AA35,注音編碼對照表!$C$3:$C$54),0))</f>
        <v>N</v>
      </c>
      <c r="AD35" s="430" t="str" cm="1">
        <f t="array" ref="AD35">INDEX(注音編碼對照表!$G$3:$G$54,MATCH(TRUE,EXACT('RIME設定解析 (2)'!$AA35,注音編碼對照表!$C$3:$C$54),0))</f>
        <v>-n</v>
      </c>
      <c r="AE35" s="2"/>
      <c r="AF35" s="421" t="s">
        <v>97</v>
      </c>
      <c r="AG35" s="2"/>
      <c r="AV35" s="11"/>
      <c r="AX35" s="2"/>
      <c r="AY35" s="443"/>
      <c r="BB35" s="2"/>
    </row>
    <row r="36" spans="2:54" ht="32.25">
      <c r="H36" s="2">
        <f t="shared" si="2"/>
        <v>34</v>
      </c>
      <c r="I36" s="136" t="str">
        <f t="shared" si="3"/>
        <v>[</v>
      </c>
      <c r="J36" s="136" t="str">
        <f t="shared" si="4"/>
        <v>;</v>
      </c>
      <c r="L36" s="2">
        <v>34</v>
      </c>
      <c r="M36" s="21" t="str">
        <f t="shared" si="13"/>
        <v>;</v>
      </c>
      <c r="N36" s="21" t="str">
        <f t="shared" si="6"/>
        <v>ㄤ</v>
      </c>
      <c r="P36" s="2">
        <v>34</v>
      </c>
      <c r="Q36" s="22" t="str">
        <f t="shared" si="7"/>
        <v/>
      </c>
      <c r="R36" s="22" t="str">
        <f t="shared" si="8"/>
        <v/>
      </c>
      <c r="T36" s="2">
        <v>34</v>
      </c>
      <c r="U36" s="409" t="str">
        <f t="shared" si="9"/>
        <v>;</v>
      </c>
      <c r="V36" s="411" t="str">
        <f t="shared" si="10"/>
        <v>[</v>
      </c>
      <c r="W36" s="410" t="str" cm="1">
        <f t="array" ref="W36" xml:space="preserve"> INDEX($N$3:$N$53, MATCH(TRUE, EXACT(表格1_33411[[#This Row],[鍵盤按鍵]], $M$3:$M$53), 0))</f>
        <v>ㄤ</v>
      </c>
      <c r="X36" s="412" t="str" cm="1">
        <f t="array" ref="X36" xml:space="preserve"> INDEX(注音編碼對照表!$G$3:$G$58, MATCH(TRUE, EXACT(表格1_33411[[#This Row],[注音編碼]], 注音編碼對照表!$D$3:$D$54), 0))</f>
        <v>ang</v>
      </c>
      <c r="Y36" s="24"/>
      <c r="Z36" s="98">
        <f t="shared" si="11"/>
        <v>34</v>
      </c>
      <c r="AA36" s="71" t="str">
        <f>U36</f>
        <v>;</v>
      </c>
      <c r="AB36" s="32" t="str" cm="1">
        <f t="array" ref="AB36">INDEX(注音編碼對照表!$E$3:$E$54,MATCH(TRUE,EXACT('RIME設定解析 (2)'!$AA36,注音編碼對照表!$C$3:$C$54),0))</f>
        <v>ㄤ</v>
      </c>
      <c r="AC36" s="379" t="s">
        <v>195</v>
      </c>
      <c r="AD36" s="430" t="str" cm="1">
        <f t="array" ref="AD36">INDEX(注音編碼對照表!$G$3:$G$54,MATCH(TRUE,EXACT('RIME設定解析 (2)'!$AA36,注音編碼對照表!$C$3:$C$54),0))</f>
        <v>ang</v>
      </c>
      <c r="AE36" s="2"/>
      <c r="AF36" s="421" t="s">
        <v>95</v>
      </c>
      <c r="AG36" s="2"/>
      <c r="AV36" s="11"/>
      <c r="AX36" s="2"/>
      <c r="AY36" s="443"/>
      <c r="BB36" s="2"/>
    </row>
    <row r="37" spans="2:54" ht="32.25">
      <c r="H37" s="2">
        <f t="shared" si="2"/>
        <v>35</v>
      </c>
      <c r="I37" s="136" t="str">
        <f t="shared" si="3"/>
        <v>W</v>
      </c>
      <c r="J37" s="136" t="str">
        <f t="shared" si="4"/>
        <v>/</v>
      </c>
      <c r="L37" s="2">
        <v>35</v>
      </c>
      <c r="M37" s="21" t="str">
        <f t="shared" si="13"/>
        <v>/</v>
      </c>
      <c r="N37" s="21" t="str">
        <f t="shared" si="6"/>
        <v>ㄥ</v>
      </c>
      <c r="P37" s="2">
        <v>35</v>
      </c>
      <c r="Q37" s="22" t="str">
        <f t="shared" si="7"/>
        <v/>
      </c>
      <c r="R37" s="22" t="str">
        <f t="shared" si="8"/>
        <v/>
      </c>
      <c r="T37" s="2">
        <v>35</v>
      </c>
      <c r="U37" s="409" t="str">
        <f t="shared" si="9"/>
        <v>/</v>
      </c>
      <c r="V37" s="411" t="str">
        <f t="shared" si="10"/>
        <v>W</v>
      </c>
      <c r="W37" s="410" t="str" cm="1">
        <f t="array" ref="W37" xml:space="preserve"> INDEX($N$3:$N$53, MATCH(TRUE, EXACT(表格1_33411[[#This Row],[鍵盤按鍵]], $M$3:$M$53), 0))</f>
        <v>ㆲ</v>
      </c>
      <c r="X37" s="412" t="str" cm="1">
        <f t="array" ref="X37" xml:space="preserve"> INDEX(注音編碼對照表!$G$3:$G$58, MATCH(TRUE, EXACT(表格1_33411[[#This Row],[注音編碼]], 注音編碼對照表!$D$3:$D$54), 0))</f>
        <v>ong</v>
      </c>
      <c r="Y37" s="24"/>
      <c r="Z37" s="98">
        <f t="shared" si="11"/>
        <v>35</v>
      </c>
      <c r="AA37" s="467" t="str">
        <f>U48</f>
        <v>:</v>
      </c>
      <c r="AB37" s="70" t="str" cm="1">
        <f t="array" ref="AB37">INDEX(注音編碼對照表!$E$3:$E$54,MATCH(TRUE,EXACT('RIME設定解析 (2)'!$AA37,注音編碼對照表!$C$3:$C$54),0))</f>
        <v>ㆲ</v>
      </c>
      <c r="AC37" s="468" t="s">
        <v>375</v>
      </c>
      <c r="AD37" s="469" t="str" cm="1">
        <f t="array" ref="AD37">INDEX(注音編碼對照表!$G$3:$G$54,MATCH(TRUE,EXACT('RIME設定解析 (2)'!$AA37,注音編碼對照表!$C$3:$C$54),0))</f>
        <v>ong</v>
      </c>
      <c r="AE37" s="2"/>
      <c r="AF37" s="421" t="s">
        <v>101</v>
      </c>
      <c r="AG37" s="2"/>
      <c r="AV37" s="11"/>
      <c r="AX37" s="2"/>
      <c r="AY37" s="443"/>
      <c r="BB37" s="2"/>
    </row>
    <row r="38" spans="2:54" ht="32.25">
      <c r="H38" s="2">
        <f t="shared" si="2"/>
        <v>36</v>
      </c>
      <c r="I38" s="136" t="str">
        <f t="shared" si="3"/>
        <v>R</v>
      </c>
      <c r="J38" s="136" t="str">
        <f t="shared" si="4"/>
        <v>-</v>
      </c>
      <c r="L38" s="2">
        <v>36</v>
      </c>
      <c r="M38" s="21" t="str">
        <f t="shared" si="13"/>
        <v>-</v>
      </c>
      <c r="N38" s="21" t="str">
        <f t="shared" si="6"/>
        <v>ㄦ</v>
      </c>
      <c r="P38" s="2">
        <v>36</v>
      </c>
      <c r="Q38" s="22" t="str">
        <f t="shared" si="7"/>
        <v/>
      </c>
      <c r="R38" s="22" t="str">
        <f t="shared" si="8"/>
        <v/>
      </c>
      <c r="T38" s="2">
        <v>36</v>
      </c>
      <c r="U38" s="409" t="str">
        <f t="shared" si="9"/>
        <v>-</v>
      </c>
      <c r="V38" s="411" t="str">
        <f t="shared" si="10"/>
        <v>R</v>
      </c>
      <c r="W38" s="410" t="str" cm="1">
        <f t="array" ref="W38" xml:space="preserve"> INDEX($N$3:$N$53, MATCH(TRUE, EXACT(表格1_33411[[#This Row],[鍵盤按鍵]], $M$3:$M$53), 0))</f>
        <v>ㄥ</v>
      </c>
      <c r="X38" s="412" t="str" cm="1">
        <f t="array" ref="X38" xml:space="preserve"> INDEX(注音編碼對照表!$G$3:$G$58, MATCH(TRUE, EXACT(表格1_33411[[#This Row],[注音編碼]], 注音編碼對照表!$D$3:$D$54), 0))</f>
        <v>-ng</v>
      </c>
      <c r="Y38" s="24"/>
      <c r="Z38" s="98">
        <f t="shared" si="11"/>
        <v>36</v>
      </c>
      <c r="AA38" s="71" t="str">
        <f>U37</f>
        <v>/</v>
      </c>
      <c r="AB38" s="32" t="str" cm="1">
        <f t="array" ref="AB38">INDEX(注音編碼對照表!$E$3:$E$54,MATCH(TRUE,EXACT('RIME設定解析 (2)'!$AA38,注音編碼對照表!$C$3:$C$54),0))</f>
        <v>ㆭ</v>
      </c>
      <c r="AC38" s="379" t="str" cm="1">
        <f t="array" ref="AC38">INDEX(注音編碼對照表!$D$3:$D$54,MATCH(TRUE,EXACT('RIME設定解析 (2)'!$AA38,注音編碼對照表!$C$3:$C$54),0))</f>
        <v>W</v>
      </c>
      <c r="AD38" s="430" t="str" cm="1">
        <f t="array" ref="AD38">INDEX(注音編碼對照表!$G$3:$G$54,MATCH(TRUE,EXACT('RIME設定解析 (2)'!$AA38,注音編碼對照表!$C$3:$C$54),0))</f>
        <v>-ng</v>
      </c>
      <c r="AE38" s="2"/>
      <c r="AF38" s="421" t="s">
        <v>593</v>
      </c>
      <c r="AG38" s="2"/>
      <c r="AV38" s="11"/>
      <c r="AX38" s="2"/>
      <c r="AY38" s="443"/>
      <c r="BB38" s="2"/>
    </row>
    <row r="39" spans="2:54" ht="32.25">
      <c r="H39" s="2">
        <f t="shared" si="2"/>
        <v>37</v>
      </c>
      <c r="I39" s="136" t="str">
        <f t="shared" si="3"/>
        <v>I</v>
      </c>
      <c r="J39" s="136" t="str">
        <f t="shared" si="4"/>
        <v>U</v>
      </c>
      <c r="L39" s="2">
        <v>37</v>
      </c>
      <c r="M39" s="21" t="str">
        <f t="shared" si="13"/>
        <v>U</v>
      </c>
      <c r="N39" s="21" t="str">
        <f t="shared" si="6"/>
        <v>ㆪ</v>
      </c>
      <c r="P39" s="2">
        <v>37</v>
      </c>
      <c r="Q39" s="22" t="str">
        <f t="shared" si="7"/>
        <v/>
      </c>
      <c r="R39" s="22" t="str">
        <f t="shared" si="8"/>
        <v/>
      </c>
      <c r="T39" s="2">
        <v>37</v>
      </c>
      <c r="U39" s="409" t="str">
        <f t="shared" si="9"/>
        <v>U</v>
      </c>
      <c r="V39" s="411" t="str">
        <f t="shared" si="10"/>
        <v>I</v>
      </c>
      <c r="W39" s="410" t="str" cm="1">
        <f t="array" ref="W39" xml:space="preserve"> INDEX($N$3:$N$53, MATCH(TRUE, EXACT(表格1_33411[[#This Row],[鍵盤按鍵]], $M$3:$M$53), 0))</f>
        <v>ㄦ</v>
      </c>
      <c r="X39" s="412" t="str" cm="1">
        <f t="array" ref="X39" xml:space="preserve"> INDEX(注音編碼對照表!$G$3:$G$58, MATCH(TRUE, EXACT(表格1_33411[[#This Row],[注音編碼]], 注音編碼對照表!$D$3:$D$54), 0))</f>
        <v>ir</v>
      </c>
      <c r="Y39" s="24"/>
      <c r="Z39" s="98">
        <f t="shared" si="11"/>
        <v>37</v>
      </c>
      <c r="AA39" s="71" t="str">
        <f>U38</f>
        <v>-</v>
      </c>
      <c r="AB39" s="32" t="str" cm="1">
        <f t="array" ref="AB39">INDEX(注音編碼對照表!$E$3:$E$54,MATCH(TRUE,EXACT('RIME設定解析 (2)'!$AA39,注音編碼對照表!$C$3:$C$54),0))</f>
        <v>ㆨ</v>
      </c>
      <c r="AC39" s="379" t="str" cm="1">
        <f t="array" ref="AC39">INDEX(注音編碼對照表!$D$3:$D$54,MATCH(TRUE,EXACT('RIME設定解析 (2)'!$AA39,注音編碼對照表!$C$3:$C$54),0))</f>
        <v>R</v>
      </c>
      <c r="AD39" s="430" t="str" cm="1">
        <f t="array" ref="AD39">INDEX(注音編碼對照表!$G$3:$G$54,MATCH(TRUE,EXACT('RIME設定解析 (2)'!$AA39,注音編碼對照表!$C$3:$C$54),0))</f>
        <v>ir</v>
      </c>
      <c r="AE39" s="2"/>
      <c r="AF39" s="421" t="s">
        <v>125</v>
      </c>
      <c r="AG39" s="2"/>
      <c r="AV39" s="11"/>
      <c r="AX39" s="2"/>
      <c r="AY39" s="443"/>
      <c r="BB39" s="2"/>
    </row>
    <row r="40" spans="2:54" ht="32.25">
      <c r="H40" s="2">
        <f t="shared" si="2"/>
        <v>38</v>
      </c>
      <c r="I40" s="136" t="str">
        <f t="shared" si="3"/>
        <v>U</v>
      </c>
      <c r="J40" s="136" t="str">
        <f t="shared" si="4"/>
        <v>J</v>
      </c>
      <c r="L40" s="2">
        <v>38</v>
      </c>
      <c r="M40" s="21" t="str">
        <f t="shared" si="13"/>
        <v>J</v>
      </c>
      <c r="N40" s="21" t="str">
        <f t="shared" si="6"/>
        <v>ㆫ</v>
      </c>
      <c r="P40" s="2">
        <v>38</v>
      </c>
      <c r="Q40" s="22" t="str">
        <f t="shared" si="7"/>
        <v/>
      </c>
      <c r="R40" s="22" t="str">
        <f t="shared" si="8"/>
        <v/>
      </c>
      <c r="T40" s="2">
        <v>38</v>
      </c>
      <c r="U40" s="409" t="str">
        <f t="shared" si="9"/>
        <v>J</v>
      </c>
      <c r="V40" s="411" t="str">
        <f t="shared" si="10"/>
        <v>U</v>
      </c>
      <c r="W40" s="410" t="str" cm="1">
        <f t="array" ref="W40" xml:space="preserve"> INDEX($N$3:$N$53, MATCH(TRUE, EXACT(表格1_33411[[#This Row],[鍵盤按鍵]], $M$3:$M$53), 0))</f>
        <v>ㆱ</v>
      </c>
      <c r="X40" s="412" t="str" cm="1">
        <f t="array" ref="X40" xml:space="preserve"> INDEX(注音編碼對照表!$G$3:$G$58, MATCH(TRUE, EXACT(表格1_33411[[#This Row],[注音編碼]], 注音編碼對照表!$D$3:$D$54), 0))</f>
        <v>om</v>
      </c>
      <c r="Y40" s="24"/>
      <c r="Z40" s="98">
        <f t="shared" si="11"/>
        <v>38</v>
      </c>
      <c r="AA40" s="467" t="str">
        <f>U46</f>
        <v>O</v>
      </c>
      <c r="AB40" s="70" t="str" cm="1">
        <f t="array" ref="AB40">INDEX(注音編碼對照表!$E$3:$E$54,MATCH(TRUE,EXACT('RIME設定解析 (2)'!$AA40,注音編碼對照表!$C$3:$C$54),0))</f>
        <v>ㆱ</v>
      </c>
      <c r="AC40" s="468" t="s">
        <v>426</v>
      </c>
      <c r="AD40" s="469" t="str" cm="1">
        <f t="array" ref="AD40">INDEX(注音編碼對照表!$G$3:$G$54,MATCH(TRUE,EXACT('RIME設定解析 (2)'!$AA40,注音編碼對照表!$C$3:$C$54),0))</f>
        <v>om</v>
      </c>
      <c r="AE40" s="2"/>
      <c r="AF40" s="421" t="s">
        <v>99</v>
      </c>
      <c r="AG40" s="2"/>
      <c r="AV40" s="11"/>
      <c r="AX40" s="2"/>
      <c r="AY40" s="443"/>
      <c r="BB40" s="2"/>
    </row>
    <row r="41" spans="2:54" ht="32.25">
      <c r="H41" s="2">
        <f t="shared" si="2"/>
        <v>39</v>
      </c>
      <c r="I41" s="136" t="str">
        <f t="shared" si="3"/>
        <v>A</v>
      </c>
      <c r="J41" s="136" t="str">
        <f t="shared" si="4"/>
        <v>*</v>
      </c>
      <c r="L41" s="2">
        <v>39</v>
      </c>
      <c r="M41" s="21" t="str">
        <f t="shared" si="13"/>
        <v>*</v>
      </c>
      <c r="N41" s="21" t="str">
        <f t="shared" si="6"/>
        <v>ㆩ</v>
      </c>
      <c r="P41" s="2">
        <v>39</v>
      </c>
      <c r="Q41" s="22" t="str">
        <f t="shared" si="7"/>
        <v/>
      </c>
      <c r="R41" s="22" t="str">
        <f t="shared" si="8"/>
        <v/>
      </c>
      <c r="T41" s="2">
        <v>39</v>
      </c>
      <c r="U41" s="409" t="str">
        <f t="shared" si="9"/>
        <v>*</v>
      </c>
      <c r="V41" s="411" t="str">
        <f t="shared" si="10"/>
        <v>A</v>
      </c>
      <c r="W41" s="410" t="str" cm="1">
        <f t="array" ref="W41" xml:space="preserve"> INDEX($N$3:$N$53, MATCH(TRUE, EXACT(表格1_33411[[#This Row],[鍵盤按鍵]], $M$3:$M$53), 0))</f>
        <v>ㆰ</v>
      </c>
      <c r="X41" s="412" t="str" cm="1">
        <f t="array" ref="X41" xml:space="preserve"> INDEX(注音編碼對照表!$G$3:$G$58, MATCH(TRUE, EXACT(表格1_33411[[#This Row],[注音編碼]], 注音編碼對照表!$D$3:$D$54), 0))</f>
        <v>am</v>
      </c>
      <c r="Y41" s="24"/>
      <c r="Z41" s="98">
        <f t="shared" si="11"/>
        <v>39</v>
      </c>
      <c r="AA41" s="467" t="str">
        <f>U47</f>
        <v>A</v>
      </c>
      <c r="AB41" s="70" t="str" cm="1">
        <f t="array" ref="AB41">INDEX(注音編碼對照表!$E$3:$E$54,MATCH(TRUE,EXACT('RIME設定解析 (2)'!$AA41,注音編碼對照表!$C$3:$C$54),0))</f>
        <v>ㆰ</v>
      </c>
      <c r="AC41" s="468" t="s">
        <v>444</v>
      </c>
      <c r="AD41" s="469" t="str" cm="1">
        <f t="array" ref="AD41">INDEX(注音編碼對照表!$G$3:$G$54,MATCH(TRUE,EXACT('RIME設定解析 (2)'!$AA41,注音編碼對照表!$C$3:$C$54),0))</f>
        <v>am</v>
      </c>
      <c r="AE41" s="2"/>
      <c r="AF41" s="421" t="s">
        <v>145</v>
      </c>
      <c r="AG41" s="2"/>
      <c r="AV41" s="11"/>
      <c r="AX41" s="2"/>
      <c r="AY41" s="443"/>
      <c r="BB41" s="2"/>
    </row>
    <row r="42" spans="2:54" ht="32.25">
      <c r="H42" s="2">
        <f t="shared" si="2"/>
        <v>40</v>
      </c>
      <c r="I42" s="136" t="str">
        <f t="shared" si="3"/>
        <v>Q</v>
      </c>
      <c r="J42" s="136" t="str">
        <f t="shared" si="4"/>
        <v>I</v>
      </c>
      <c r="L42" s="2">
        <v>40</v>
      </c>
      <c r="M42" s="21" t="str">
        <f t="shared" si="13"/>
        <v>I</v>
      </c>
      <c r="N42" s="21" t="str">
        <f t="shared" si="6"/>
        <v>ㆧ</v>
      </c>
      <c r="P42" s="2">
        <v>40</v>
      </c>
      <c r="Q42" s="22" t="str">
        <f t="shared" si="7"/>
        <v/>
      </c>
      <c r="R42" s="22" t="str">
        <f t="shared" si="8"/>
        <v/>
      </c>
      <c r="T42" s="2">
        <v>40</v>
      </c>
      <c r="U42" s="409" t="str">
        <f t="shared" si="9"/>
        <v>I</v>
      </c>
      <c r="V42" s="411" t="str">
        <f t="shared" si="10"/>
        <v>Q</v>
      </c>
      <c r="W42" s="410" t="str" cm="1">
        <f t="array" ref="W42" xml:space="preserve"> INDEX($N$3:$N$53, MATCH(TRUE, EXACT(表格1_33411[[#This Row],[鍵盤按鍵]], $M$3:$M$53), 0))</f>
        <v>ㆪ</v>
      </c>
      <c r="X42" s="412" t="str" cm="1">
        <f t="array" ref="X42" xml:space="preserve"> INDEX(注音編碼對照表!$G$3:$G$58, MATCH(TRUE, EXACT(表格1_33411[[#This Row],[注音編碼]], 注音編碼對照表!$D$3:$D$54), 0))</f>
        <v>inn</v>
      </c>
      <c r="Y42" s="24"/>
      <c r="Z42" s="98">
        <f t="shared" si="11"/>
        <v>40</v>
      </c>
      <c r="AA42" s="71" t="str">
        <f t="shared" ref="AA42:AA48" si="14">U39</f>
        <v>U</v>
      </c>
      <c r="AB42" s="32" t="str" cm="1">
        <f t="array" ref="AB42">INDEX(注音編碼對照表!$E$3:$E$54,MATCH(TRUE,EXACT('RIME設定解析 (2)'!$AA42,注音編碼對照表!$C$3:$C$54),0))</f>
        <v>ㆪ</v>
      </c>
      <c r="AC42" s="379" t="str" cm="1">
        <f t="array" ref="AC42">INDEX(注音編碼對照表!$D$3:$D$54,MATCH(TRUE,EXACT('RIME設定解析 (2)'!$AA42,注音編碼對照表!$C$3:$C$54),0))</f>
        <v>I</v>
      </c>
      <c r="AD42" s="430" t="str" cm="1">
        <f t="array" ref="AD42">INDEX(注音編碼對照表!$G$3:$G$54,MATCH(TRUE,EXACT('RIME設定解析 (2)'!$AA42,注音編碼對照表!$C$3:$C$54),0))</f>
        <v>inn</v>
      </c>
      <c r="AE42" s="2"/>
      <c r="AF42" s="421" t="s">
        <v>74</v>
      </c>
      <c r="AG42" s="2"/>
      <c r="AV42" s="11"/>
      <c r="AX42" s="2"/>
      <c r="AY42" s="443"/>
      <c r="BB42" s="2"/>
    </row>
    <row r="43" spans="2:54" ht="32.25">
      <c r="H43" s="2">
        <f t="shared" si="2"/>
        <v>41</v>
      </c>
      <c r="I43" s="136" t="str">
        <f t="shared" si="3"/>
        <v>E</v>
      </c>
      <c r="J43" s="136" t="str">
        <f t="shared" si="4"/>
        <v>&lt;</v>
      </c>
      <c r="L43" s="2">
        <v>41</v>
      </c>
      <c r="M43" s="21" t="str">
        <f t="shared" si="13"/>
        <v>&lt;</v>
      </c>
      <c r="N43" s="21" t="str">
        <f t="shared" si="6"/>
        <v>ㆥ</v>
      </c>
      <c r="P43" s="2">
        <v>41</v>
      </c>
      <c r="Q43" s="22" t="str">
        <f t="shared" si="7"/>
        <v/>
      </c>
      <c r="R43" s="22" t="str">
        <f t="shared" si="8"/>
        <v/>
      </c>
      <c r="T43" s="2">
        <v>41</v>
      </c>
      <c r="U43" s="409" t="str">
        <f t="shared" si="9"/>
        <v>&lt;</v>
      </c>
      <c r="V43" s="411" t="str">
        <f t="shared" si="10"/>
        <v>E</v>
      </c>
      <c r="W43" s="410" t="str" cm="1">
        <f t="array" ref="W43" xml:space="preserve"> INDEX($N$3:$N$53, MATCH(TRUE, EXACT(表格1_33411[[#This Row],[鍵盤按鍵]], $M$3:$M$53), 0))</f>
        <v>ㆫ</v>
      </c>
      <c r="X43" s="412" t="str" cm="1">
        <f t="array" ref="X43" xml:space="preserve"> INDEX(注音編碼對照表!$G$3:$G$58, MATCH(TRUE, EXACT(表格1_33411[[#This Row],[注音編碼]], 注音編碼對照表!$D$3:$D$54), 0))</f>
        <v>unn</v>
      </c>
      <c r="Y43" s="24"/>
      <c r="Z43" s="98">
        <f t="shared" si="11"/>
        <v>41</v>
      </c>
      <c r="AA43" s="71" t="str">
        <f t="shared" si="14"/>
        <v>J</v>
      </c>
      <c r="AB43" s="32" t="str" cm="1">
        <f t="array" ref="AB43">INDEX(注音編碼對照表!$E$3:$E$54,MATCH(TRUE,EXACT('RIME設定解析 (2)'!$AA43,注音編碼對照表!$C$3:$C$54),0))</f>
        <v>ㆫ</v>
      </c>
      <c r="AC43" s="379" t="str" cm="1">
        <f t="array" ref="AC43">INDEX(注音編碼對照表!$D$3:$D$54,MATCH(TRUE,EXACT('RIME設定解析 (2)'!$AA43,注音編碼對照表!$C$3:$C$54),0))</f>
        <v>U</v>
      </c>
      <c r="AD43" s="430" t="str" cm="1">
        <f t="array" ref="AD43">INDEX(注音編碼對照表!$G$3:$G$54,MATCH(TRUE,EXACT('RIME設定解析 (2)'!$AA43,注音編碼對照表!$C$3:$C$54),0))</f>
        <v>unn</v>
      </c>
      <c r="AE43" s="88"/>
      <c r="AF43" s="421" t="s">
        <v>76</v>
      </c>
      <c r="AG43" s="2"/>
      <c r="AV43" s="11"/>
      <c r="AX43" s="2"/>
      <c r="AY43" s="443"/>
      <c r="BB43" s="2"/>
    </row>
    <row r="44" spans="2:54" ht="32.25">
      <c r="H44" s="2">
        <f t="shared" si="2"/>
        <v>42</v>
      </c>
      <c r="I44" s="136" t="str">
        <f t="shared" si="3"/>
        <v>Y</v>
      </c>
      <c r="J44" s="136" t="str">
        <f t="shared" si="4"/>
        <v>(</v>
      </c>
      <c r="L44" s="2">
        <v>42</v>
      </c>
      <c r="M44" s="21" t="str">
        <f t="shared" si="13"/>
        <v>(</v>
      </c>
      <c r="N44" s="21" t="str">
        <f t="shared" si="6"/>
        <v>ㆮ</v>
      </c>
      <c r="P44" s="2">
        <v>42</v>
      </c>
      <c r="Q44" s="22" t="str">
        <f t="shared" si="7"/>
        <v/>
      </c>
      <c r="R44" s="22" t="str">
        <f t="shared" si="8"/>
        <v/>
      </c>
      <c r="T44" s="2">
        <v>42</v>
      </c>
      <c r="U44" s="409" t="str">
        <f t="shared" si="9"/>
        <v>(</v>
      </c>
      <c r="V44" s="411" t="str">
        <f t="shared" si="10"/>
        <v>Y</v>
      </c>
      <c r="W44" s="410" t="str" cm="1">
        <f t="array" ref="W44" xml:space="preserve"> INDEX($N$3:$N$53, MATCH(TRUE, EXACT(表格1_33411[[#This Row],[鍵盤按鍵]], $M$3:$M$53), 0))</f>
        <v>ㆩ</v>
      </c>
      <c r="X44" s="412" t="str" cm="1">
        <f t="array" ref="X44" xml:space="preserve"> INDEX(注音編碼對照表!$G$3:$G$58, MATCH(TRUE, EXACT(表格1_33411[[#This Row],[注音編碼]], 注音編碼對照表!$D$3:$D$54), 0))</f>
        <v>ann</v>
      </c>
      <c r="Y44" s="24"/>
      <c r="Z44" s="98">
        <f t="shared" si="11"/>
        <v>42</v>
      </c>
      <c r="AA44" s="71" t="str">
        <f t="shared" si="14"/>
        <v>*</v>
      </c>
      <c r="AB44" s="32" t="str" cm="1">
        <f t="array" ref="AB44">INDEX(注音編碼對照表!$E$3:$E$54,MATCH(TRUE,EXACT('RIME設定解析 (2)'!$AA44,注音編碼對照表!$C$3:$C$54),0))</f>
        <v>ㆩ</v>
      </c>
      <c r="AC44" s="379" t="str" cm="1">
        <f t="array" ref="AC44">INDEX(注音編碼對照表!$D$3:$D$54,MATCH(TRUE,EXACT('RIME設定解析 (2)'!$AA44,注音編碼對照表!$C$3:$C$54),0))</f>
        <v>A</v>
      </c>
      <c r="AD44" s="430" t="str" cm="1">
        <f t="array" ref="AD44">INDEX(注音編碼對照表!$G$3:$G$54,MATCH(TRUE,EXACT('RIME設定解析 (2)'!$AA44,注音編碼對照表!$C$3:$C$54),0))</f>
        <v>ann</v>
      </c>
      <c r="AE44" s="2"/>
      <c r="AF44" s="421" t="s">
        <v>594</v>
      </c>
      <c r="AG44" s="2"/>
      <c r="AV44" s="11"/>
      <c r="AX44" s="2"/>
      <c r="AY44" s="443"/>
      <c r="BB44" s="2"/>
    </row>
    <row r="45" spans="2:54" ht="32.25">
      <c r="H45" s="2">
        <f t="shared" si="2"/>
        <v>43</v>
      </c>
      <c r="I45" s="136" t="str">
        <f t="shared" si="3"/>
        <v>X</v>
      </c>
      <c r="J45" s="136" t="str">
        <f t="shared" si="4"/>
        <v>L</v>
      </c>
      <c r="L45" s="2">
        <v>43</v>
      </c>
      <c r="M45" s="21" t="str">
        <f t="shared" si="13"/>
        <v>L</v>
      </c>
      <c r="N45" s="21" t="str">
        <f t="shared" si="6"/>
        <v>ㆯ</v>
      </c>
      <c r="R45" s="2"/>
      <c r="T45" s="2">
        <v>43</v>
      </c>
      <c r="U45" s="409" t="str">
        <f t="shared" si="9"/>
        <v>L</v>
      </c>
      <c r="V45" s="411" t="str">
        <f t="shared" si="10"/>
        <v>X</v>
      </c>
      <c r="W45" s="410" t="str" cm="1">
        <f t="array" ref="W45" xml:space="preserve"> INDEX($N$3:$N$53, MATCH(TRUE, EXACT(表格1_33411[[#This Row],[鍵盤按鍵]], $M$3:$M$53), 0))</f>
        <v>ㆧ</v>
      </c>
      <c r="X45" s="412" t="str" cm="1">
        <f t="array" ref="X45" xml:space="preserve"> INDEX(注音編碼對照表!$G$3:$G$58, MATCH(TRUE, EXACT(表格1_33411[[#This Row],[注音編碼]], 注音編碼對照表!$D$3:$D$54), 0))</f>
        <v>onn</v>
      </c>
      <c r="Y45" s="24"/>
      <c r="Z45" s="98">
        <f t="shared" si="11"/>
        <v>43</v>
      </c>
      <c r="AA45" s="71" t="str">
        <f t="shared" si="14"/>
        <v>I</v>
      </c>
      <c r="AB45" s="32" t="str" cm="1">
        <f t="array" ref="AB45">INDEX(注音編碼對照表!$E$3:$E$54,MATCH(TRUE,EXACT('RIME設定解析 (2)'!$AA45,注音編碼對照表!$C$3:$C$54),0))</f>
        <v>ㆧ</v>
      </c>
      <c r="AC45" s="379" t="str" cm="1">
        <f t="array" ref="AC45">INDEX(注音編碼對照表!$D$3:$D$54,MATCH(TRUE,EXACT('RIME設定解析 (2)'!$AA45,注音編碼對照表!$C$3:$C$54),0))</f>
        <v>Q</v>
      </c>
      <c r="AD45" s="430" t="str" cm="1">
        <f t="array" ref="AD45">INDEX(注音編碼對照表!$G$3:$G$54,MATCH(TRUE,EXACT('RIME設定解析 (2)'!$AA45,注音編碼對照表!$C$3:$C$54),0))</f>
        <v>onn</v>
      </c>
      <c r="AE45" s="2"/>
      <c r="AF45" s="421"/>
      <c r="AG45" s="2"/>
      <c r="AV45" s="11"/>
      <c r="AX45" s="2"/>
      <c r="AY45" s="443"/>
      <c r="BB45" s="2"/>
    </row>
    <row r="46" spans="2:54" ht="32.25">
      <c r="B46" s="92" t="s">
        <v>138</v>
      </c>
      <c r="D46" s="17" t="s">
        <v>8</v>
      </c>
      <c r="E46" s="17" t="s">
        <v>15</v>
      </c>
      <c r="F46" s="17" t="s">
        <v>17</v>
      </c>
      <c r="G46" s="417"/>
      <c r="H46" s="2">
        <f t="shared" si="2"/>
        <v>44</v>
      </c>
      <c r="I46" s="136" t="str">
        <f t="shared" si="3"/>
        <v>}</v>
      </c>
      <c r="J46" s="136" t="str">
        <f t="shared" si="4"/>
        <v>O</v>
      </c>
      <c r="L46" s="2">
        <v>44</v>
      </c>
      <c r="M46" s="21" t="str">
        <f t="shared" si="13"/>
        <v>O</v>
      </c>
      <c r="N46" s="21" t="str">
        <f t="shared" si="6"/>
        <v>ㆱ</v>
      </c>
      <c r="R46" s="2"/>
      <c r="T46" s="2">
        <v>44</v>
      </c>
      <c r="U46" s="409" t="str">
        <f t="shared" si="9"/>
        <v>O</v>
      </c>
      <c r="V46" s="411" t="str">
        <f t="shared" si="10"/>
        <v>}</v>
      </c>
      <c r="W46" s="410" t="str" cm="1">
        <f t="array" ref="W46" xml:space="preserve"> INDEX($N$3:$N$53, MATCH(TRUE, EXACT(表格1_33411[[#This Row],[鍵盤按鍵]], $M$3:$M$53), 0))</f>
        <v>ㆥ</v>
      </c>
      <c r="X46" s="412" t="str" cm="1">
        <f t="array" ref="X46" xml:space="preserve"> INDEX(注音編碼對照表!$G$3:$G$58, MATCH(TRUE, EXACT(表格1_33411[[#This Row],[注音編碼]], 注音編碼對照表!$D$3:$D$54), 0))</f>
        <v>enn</v>
      </c>
      <c r="Y46" s="24"/>
      <c r="Z46" s="98">
        <f t="shared" si="11"/>
        <v>44</v>
      </c>
      <c r="AA46" s="71" t="str">
        <f t="shared" si="14"/>
        <v>&lt;</v>
      </c>
      <c r="AB46" s="32" t="str" cm="1">
        <f t="array" ref="AB46">INDEX(注音編碼對照表!$E$3:$E$54,MATCH(TRUE,EXACT('RIME設定解析 (2)'!$AA46,注音編碼對照表!$C$3:$C$54),0))</f>
        <v>ㆥ</v>
      </c>
      <c r="AC46" s="379" t="str" cm="1">
        <f t="array" ref="AC46">INDEX(注音編碼對照表!$D$3:$D$54,MATCH(TRUE,EXACT('RIME設定解析 (2)'!$AA46,注音編碼對照表!$C$3:$C$54),0))</f>
        <v>E</v>
      </c>
      <c r="AD46" s="430" t="str" cm="1">
        <f t="array" ref="AD46">INDEX(注音編碼對照表!$G$3:$G$54,MATCH(TRUE,EXACT('RIME設定解析 (2)'!$AA46,注音編碼對照表!$C$3:$C$54),0))</f>
        <v>enn</v>
      </c>
      <c r="AE46" s="2"/>
      <c r="AF46" s="421"/>
      <c r="AG46" s="2"/>
      <c r="AV46" s="11"/>
      <c r="AX46" s="2"/>
      <c r="AY46" s="443"/>
      <c r="BB46" s="2"/>
    </row>
    <row r="47" spans="2:54" ht="32.25">
      <c r="B47" s="93" t="s">
        <v>136</v>
      </c>
      <c r="C47" s="2">
        <v>1</v>
      </c>
      <c r="D47" s="21" t="str">
        <f t="shared" ref="D47:D88" si="15" xml:space="preserve"> MID($B$47, $C47, 1)</f>
        <v>1</v>
      </c>
      <c r="E47" s="5" t="str">
        <f t="shared" ref="E47:E88" si="16" xml:space="preserve"> IFERROR( INDEX($N$3:$N$44, MATCH(D47, $M$3:$M$44, 0)), "")</f>
        <v>ㄅ</v>
      </c>
      <c r="F47" s="5" t="str">
        <f t="shared" ref="F47:F88" si="17" xml:space="preserve"> IFERROR( INDEX($I$3:$I$44, MATCH($D47, $J$3:$J$44, 0)), "")</f>
        <v>p</v>
      </c>
      <c r="G47" s="5"/>
      <c r="H47" s="2">
        <f t="shared" si="2"/>
        <v>45</v>
      </c>
      <c r="I47" s="136" t="str">
        <f t="shared" si="3"/>
        <v>{</v>
      </c>
      <c r="J47" s="136" t="str">
        <f t="shared" si="4"/>
        <v>A</v>
      </c>
      <c r="L47" s="2">
        <v>45</v>
      </c>
      <c r="M47" s="21" t="str">
        <f t="shared" si="13"/>
        <v>A</v>
      </c>
      <c r="N47" s="21" t="str">
        <f t="shared" si="6"/>
        <v>ㆰ</v>
      </c>
      <c r="R47" s="2"/>
      <c r="T47" s="2">
        <v>45</v>
      </c>
      <c r="U47" s="409" t="str">
        <f t="shared" si="9"/>
        <v>A</v>
      </c>
      <c r="V47" s="411" t="str">
        <f t="shared" si="10"/>
        <v>{</v>
      </c>
      <c r="W47" s="410" t="str" cm="1">
        <f t="array" ref="W47" xml:space="preserve"> INDEX($N$3:$N$53, MATCH(TRUE, EXACT(表格1_33411[[#This Row],[鍵盤按鍵]], $M$3:$M$53), 0))</f>
        <v>ㆮ</v>
      </c>
      <c r="X47" s="412" t="str" cm="1">
        <f t="array" ref="X47" xml:space="preserve"> INDEX(注音編碼對照表!$G$3:$G$58, MATCH(TRUE, EXACT(表格1_33411[[#This Row],[注音編碼]], 注音編碼對照表!$D$3:$D$54), 0))</f>
        <v>ainn</v>
      </c>
      <c r="Y47" s="24"/>
      <c r="Z47" s="98">
        <f t="shared" si="11"/>
        <v>45</v>
      </c>
      <c r="AA47" s="71" t="str">
        <f t="shared" si="14"/>
        <v>(</v>
      </c>
      <c r="AB47" s="32" t="str" cm="1">
        <f t="array" ref="AB47">INDEX(注音編碼對照表!$E$3:$E$54,MATCH(TRUE,EXACT('RIME設定解析 (2)'!$AA47,注音編碼對照表!$C$3:$C$54),0))</f>
        <v>ㆮ</v>
      </c>
      <c r="AC47" s="379" t="str" cm="1">
        <f t="array" ref="AC47">INDEX(注音編碼對照表!$D$3:$D$54,MATCH(TRUE,EXACT('RIME設定解析 (2)'!$AA47,注音編碼對照表!$C$3:$C$54),0))</f>
        <v>Y</v>
      </c>
      <c r="AD47" s="430" t="str" cm="1">
        <f t="array" ref="AD47">INDEX(注音編碼對照表!$G$3:$G$54,MATCH(TRUE,EXACT('RIME設定解析 (2)'!$AA47,注音編碼對照表!$C$3:$C$54),0))</f>
        <v>ainn</v>
      </c>
      <c r="AE47" s="2"/>
      <c r="AF47" s="421"/>
      <c r="AG47" s="2"/>
      <c r="AV47" s="11"/>
      <c r="AX47" s="2"/>
      <c r="AY47" s="443"/>
      <c r="BB47" s="2"/>
    </row>
    <row r="48" spans="2:54" ht="32.25">
      <c r="B48" s="40" t="str">
        <f xml:space="preserve"> _xlfn.CONCAT(鍵盤位置)</f>
        <v>1!qa2wsxeEdcbyhnBYHN?ujm8ik,9l.0p;/-UJ*I&lt;(LOA: 43657</v>
      </c>
      <c r="C48" s="2">
        <v>2</v>
      </c>
      <c r="D48" s="21" t="str">
        <f t="shared" si="15"/>
        <v>q</v>
      </c>
      <c r="E48" s="5" t="str">
        <f t="shared" si="16"/>
        <v>ㄆ</v>
      </c>
      <c r="F48" s="5" t="str">
        <f t="shared" si="17"/>
        <v>P</v>
      </c>
      <c r="G48" s="5"/>
      <c r="H48" s="2">
        <f t="shared" si="2"/>
        <v>46</v>
      </c>
      <c r="I48" s="136" t="str">
        <f t="shared" si="3"/>
        <v>]</v>
      </c>
      <c r="J48" s="136" t="str">
        <f t="shared" si="4"/>
        <v>:</v>
      </c>
      <c r="L48" s="2">
        <v>46</v>
      </c>
      <c r="M48" s="21" t="str">
        <f t="shared" si="13"/>
        <v>:</v>
      </c>
      <c r="N48" s="21" t="str">
        <f t="shared" si="6"/>
        <v>ㆲ</v>
      </c>
      <c r="R48" s="2"/>
      <c r="T48" s="2">
        <v>46</v>
      </c>
      <c r="U48" s="409" t="str">
        <f t="shared" si="9"/>
        <v>:</v>
      </c>
      <c r="V48" s="411" t="str">
        <f t="shared" si="10"/>
        <v>]</v>
      </c>
      <c r="W48" s="410" t="str" cm="1">
        <f t="array" ref="W48" xml:space="preserve"> INDEX($N$3:$N$53, MATCH(TRUE, EXACT(表格1_33411[[#This Row],[鍵盤按鍵]], $M$3:$M$53), 0))</f>
        <v>ㆯ</v>
      </c>
      <c r="X48" s="412" t="str" cm="1">
        <f t="array" ref="X48" xml:space="preserve"> INDEX(注音編碼對照表!$G$3:$G$58, MATCH(TRUE, EXACT(表格1_33411[[#This Row],[注音編碼]], 注音編碼對照表!$D$3:$D$54), 0))</f>
        <v>aunn</v>
      </c>
      <c r="Y48" s="24"/>
      <c r="Z48" s="98">
        <f t="shared" si="11"/>
        <v>46</v>
      </c>
      <c r="AA48" s="71" t="str">
        <f t="shared" si="14"/>
        <v>L</v>
      </c>
      <c r="AB48" s="32" t="str" cm="1">
        <f t="array" ref="AB48">INDEX(注音編碼對照表!$E$3:$E$54,MATCH(TRUE,EXACT('RIME設定解析 (2)'!$AA48,注音編碼對照表!$C$3:$C$54),0))</f>
        <v>ㆯ</v>
      </c>
      <c r="AC48" s="379" t="str" cm="1">
        <f t="array" ref="AC48">INDEX(注音編碼對照表!$D$3:$D$54,MATCH(TRUE,EXACT('RIME設定解析 (2)'!$AA48,注音編碼對照表!$C$3:$C$54),0))</f>
        <v>X</v>
      </c>
      <c r="AD48" s="430" t="str" cm="1">
        <f t="array" ref="AD48">INDEX(注音編碼對照表!$G$3:$G$54,MATCH(TRUE,EXACT('RIME設定解析 (2)'!$AA48,注音編碼對照表!$C$3:$C$54),0))</f>
        <v>aunn</v>
      </c>
      <c r="AE48" s="2"/>
      <c r="AF48" s="421"/>
      <c r="AG48" s="2"/>
      <c r="AV48" s="11"/>
      <c r="AX48" s="2"/>
      <c r="AY48" s="443"/>
      <c r="BB48" s="2"/>
    </row>
    <row r="49" spans="2:54" ht="32.25">
      <c r="C49" s="2">
        <v>3</v>
      </c>
      <c r="D49" s="21" t="str">
        <f t="shared" si="15"/>
        <v>a</v>
      </c>
      <c r="E49" s="5" t="str">
        <f t="shared" si="16"/>
        <v>ㄇ</v>
      </c>
      <c r="F49" s="5" t="str">
        <f t="shared" si="17"/>
        <v>m</v>
      </c>
      <c r="G49" s="5"/>
      <c r="H49" s="2">
        <f t="shared" si="2"/>
        <v>47</v>
      </c>
      <c r="I49" s="136" t="str">
        <f t="shared" si="3"/>
        <v>1</v>
      </c>
      <c r="J49" s="136" t="str">
        <f t="shared" si="4"/>
        <v xml:space="preserve"> </v>
      </c>
      <c r="L49" s="2">
        <v>47</v>
      </c>
      <c r="M49" s="21" t="str">
        <f t="shared" si="13"/>
        <v>4</v>
      </c>
      <c r="N49" s="21" t="str">
        <f t="shared" si="6"/>
        <v>ˋ</v>
      </c>
      <c r="R49" s="2"/>
      <c r="T49" s="2">
        <v>47</v>
      </c>
      <c r="U49" s="409" t="str">
        <f t="shared" si="9"/>
        <v xml:space="preserve"> </v>
      </c>
      <c r="V49" s="411" t="str">
        <f t="shared" si="10"/>
        <v>1</v>
      </c>
      <c r="W49" s="410" t="e" cm="1">
        <f t="array" ref="W49" xml:space="preserve"> INDEX($N$3:$N$53, MATCH(TRUE, EXACT(表格1_33411[[#This Row],[鍵盤按鍵]], $M$3:$M$53), 0))</f>
        <v>#N/A</v>
      </c>
      <c r="X49" s="412" cm="1">
        <f t="array" ref="X49" xml:space="preserve"> INDEX(注音編碼對照表!$G$3:$G$58, MATCH(TRUE, EXACT(表格1_33411[[#This Row],[注音編碼]], 注音編碼對照表!$D$3:$D$54), 0))</f>
        <v>1</v>
      </c>
      <c r="Y49" s="24"/>
      <c r="Z49" s="98">
        <f t="shared" si="11"/>
        <v>47</v>
      </c>
      <c r="AA49" s="71" t="str">
        <f t="shared" ref="AA49:AA54" si="18">U49</f>
        <v xml:space="preserve"> </v>
      </c>
      <c r="AB49" s="32" t="str" cm="1">
        <f t="array" ref="AB49">INDEX(注音編碼對照表!$E$3:$E$54,MATCH(TRUE,EXACT('RIME設定解析 (2)'!$AA49,注音編碼對照表!$C$3:$C$54),0))</f>
        <v>ˉ</v>
      </c>
      <c r="AC49" s="379" t="str" cm="1">
        <f t="array" ref="AC49">INDEX(注音編碼對照表!$D$3:$D$54,MATCH(TRUE,EXACT('RIME設定解析 (2)'!$AA49,注音編碼對照表!$C$3:$C$54),0))</f>
        <v>1</v>
      </c>
      <c r="AD49" s="430" cm="1">
        <f t="array" ref="AD49">INDEX(注音編碼對照表!$G$3:$G$54,MATCH(TRUE,EXACT('RIME設定解析 (2)'!$AA49,注音編碼對照表!$C$3:$C$54),0))</f>
        <v>1</v>
      </c>
      <c r="AE49" s="2"/>
      <c r="AF49" s="421"/>
      <c r="AG49" s="2"/>
      <c r="AV49" s="11"/>
      <c r="AX49" s="2"/>
      <c r="AY49" s="443"/>
      <c r="BB49" s="2"/>
    </row>
    <row r="50" spans="2:54" ht="32.25">
      <c r="C50" s="2">
        <v>4</v>
      </c>
      <c r="D50" s="21" t="str">
        <f t="shared" si="15"/>
        <v>z</v>
      </c>
      <c r="E50" s="5" t="str">
        <f t="shared" si="16"/>
        <v/>
      </c>
      <c r="F50" s="5" t="str">
        <f t="shared" si="17"/>
        <v/>
      </c>
      <c r="G50" s="5"/>
      <c r="H50" s="2">
        <f t="shared" si="2"/>
        <v>48</v>
      </c>
      <c r="I50" s="136" t="str">
        <f t="shared" si="3"/>
        <v>2</v>
      </c>
      <c r="J50" s="136" t="str">
        <f t="shared" si="4"/>
        <v>4</v>
      </c>
      <c r="L50" s="2">
        <v>48</v>
      </c>
      <c r="M50" s="21" t="str">
        <f t="shared" si="13"/>
        <v>3</v>
      </c>
      <c r="N50" s="21" t="str">
        <f t="shared" si="6"/>
        <v>˪</v>
      </c>
      <c r="R50" s="2"/>
      <c r="T50" s="2">
        <v>48</v>
      </c>
      <c r="U50" s="409" t="str">
        <f t="shared" si="9"/>
        <v>4</v>
      </c>
      <c r="V50" s="411" t="str">
        <f t="shared" si="10"/>
        <v>2</v>
      </c>
      <c r="W50" s="410" t="str" cm="1">
        <f t="array" ref="W50" xml:space="preserve"> INDEX($N$3:$N$53, MATCH(TRUE, EXACT(表格1_33411[[#This Row],[鍵盤按鍵]], $M$3:$M$53), 0))</f>
        <v>ˋ</v>
      </c>
      <c r="X50" s="412" cm="1">
        <f t="array" ref="X50" xml:space="preserve"> INDEX(注音編碼對照表!$G$3:$G$58, MATCH(TRUE, EXACT(表格1_33411[[#This Row],[注音編碼]], 注音編碼對照表!$D$3:$D$54), 0))</f>
        <v>2</v>
      </c>
      <c r="Y50" s="24"/>
      <c r="Z50" s="98">
        <f t="shared" si="11"/>
        <v>48</v>
      </c>
      <c r="AA50" s="71" t="str">
        <f t="shared" si="18"/>
        <v>4</v>
      </c>
      <c r="AB50" s="32" t="str" cm="1">
        <f t="array" ref="AB50">INDEX(注音編碼對照表!$E$3:$E$54,MATCH(TRUE,EXACT('RIME設定解析 (2)'!$AA50,注音編碼對照表!$C$3:$C$54),0))</f>
        <v>ˋ</v>
      </c>
      <c r="AC50" s="379" t="str" cm="1">
        <f t="array" ref="AC50">INDEX(注音編碼對照表!$D$3:$D$54,MATCH(TRUE,EXACT('RIME設定解析 (2)'!$AA50,注音編碼對照表!$C$3:$C$54),0))</f>
        <v>2</v>
      </c>
      <c r="AD50" s="430" cm="1">
        <f t="array" ref="AD50">INDEX(注音編碼對照表!$G$3:$G$54,MATCH(TRUE,EXACT('RIME設定解析 (2)'!$AA50,注音編碼對照表!$C$3:$C$54),0))</f>
        <v>2</v>
      </c>
      <c r="AE50" s="2"/>
      <c r="AF50" s="421"/>
      <c r="AG50" s="2"/>
      <c r="AV50" s="11"/>
      <c r="AX50" s="2"/>
      <c r="AY50" s="443"/>
      <c r="BB50" s="2"/>
    </row>
    <row r="51" spans="2:54" ht="32.25">
      <c r="B51" s="92" t="s">
        <v>139</v>
      </c>
      <c r="C51" s="2">
        <v>5</v>
      </c>
      <c r="D51" s="21" t="str">
        <f t="shared" si="15"/>
        <v>2</v>
      </c>
      <c r="E51" s="5" t="str">
        <f t="shared" si="16"/>
        <v>ㄉ</v>
      </c>
      <c r="F51" s="5" t="str">
        <f t="shared" si="17"/>
        <v>t</v>
      </c>
      <c r="G51" s="5"/>
      <c r="H51" s="2">
        <f t="shared" si="2"/>
        <v>49</v>
      </c>
      <c r="I51" s="136" t="str">
        <f t="shared" si="3"/>
        <v>3</v>
      </c>
      <c r="J51" s="136" t="str">
        <f t="shared" si="4"/>
        <v>3</v>
      </c>
      <c r="L51" s="2">
        <v>49</v>
      </c>
      <c r="M51" s="21" t="str">
        <f t="shared" si="13"/>
        <v>6</v>
      </c>
      <c r="N51" s="21" t="str">
        <f t="shared" si="6"/>
        <v>ˊ</v>
      </c>
      <c r="R51" s="2"/>
      <c r="T51" s="2">
        <v>49</v>
      </c>
      <c r="U51" s="409" t="str">
        <f t="shared" si="9"/>
        <v>3</v>
      </c>
      <c r="V51" s="411" t="str">
        <f t="shared" si="10"/>
        <v>3</v>
      </c>
      <c r="W51" s="410" t="str" cm="1">
        <f t="array" ref="W51" xml:space="preserve"> INDEX($N$3:$N$53, MATCH(TRUE, EXACT(表格1_33411[[#This Row],[鍵盤按鍵]], $M$3:$M$53), 0))</f>
        <v>˪</v>
      </c>
      <c r="X51" s="412" cm="1">
        <f t="array" ref="X51" xml:space="preserve"> INDEX(注音編碼對照表!$G$3:$G$58, MATCH(TRUE, EXACT(表格1_33411[[#This Row],[注音編碼]], 注音編碼對照表!$D$3:$D$54), 0))</f>
        <v>3</v>
      </c>
      <c r="Y51" s="24"/>
      <c r="Z51" s="98">
        <f t="shared" si="11"/>
        <v>49</v>
      </c>
      <c r="AA51" s="71" t="str">
        <f t="shared" si="18"/>
        <v>3</v>
      </c>
      <c r="AB51" s="32" t="str" cm="1">
        <f t="array" ref="AB51">INDEX(注音編碼對照表!$E$3:$E$54,MATCH(TRUE,EXACT('RIME設定解析 (2)'!$AA51,注音編碼對照表!$C$3:$C$54),0))</f>
        <v>˪</v>
      </c>
      <c r="AC51" s="379" t="str" cm="1">
        <f t="array" ref="AC51">INDEX(注音編碼對照表!$D$3:$D$54,MATCH(TRUE,EXACT('RIME設定解析 (2)'!$AA51,注音編碼對照表!$C$3:$C$54),0))</f>
        <v>3</v>
      </c>
      <c r="AD51" s="430" cm="1">
        <f t="array" ref="AD51">INDEX(注音編碼對照表!$G$3:$G$54,MATCH(TRUE,EXACT('RIME設定解析 (2)'!$AA51,注音編碼對照表!$C$3:$C$54),0))</f>
        <v>3</v>
      </c>
      <c r="AE51" s="2"/>
      <c r="AF51" s="421"/>
      <c r="AG51" s="2"/>
      <c r="AV51" s="11"/>
      <c r="AX51" s="2"/>
      <c r="AY51" s="443"/>
      <c r="BB51" s="2"/>
    </row>
    <row r="52" spans="2:54" ht="32.25">
      <c r="B52" s="93" t="s">
        <v>137</v>
      </c>
      <c r="C52" s="2">
        <v>6</v>
      </c>
      <c r="D52" s="21" t="str">
        <f t="shared" si="15"/>
        <v>w</v>
      </c>
      <c r="E52" s="5" t="str">
        <f t="shared" si="16"/>
        <v>ㄊ</v>
      </c>
      <c r="F52" s="5" t="str">
        <f t="shared" si="17"/>
        <v>T</v>
      </c>
      <c r="G52" s="5"/>
      <c r="H52" s="2">
        <f t="shared" si="2"/>
        <v>50</v>
      </c>
      <c r="I52" s="136" t="str">
        <f t="shared" si="3"/>
        <v>5</v>
      </c>
      <c r="J52" s="136" t="str">
        <f t="shared" si="4"/>
        <v>6</v>
      </c>
      <c r="L52" s="2">
        <v>50</v>
      </c>
      <c r="M52" s="21" t="str">
        <f t="shared" si="13"/>
        <v>5</v>
      </c>
      <c r="N52" s="21" t="str">
        <f t="shared" si="6"/>
        <v>˫</v>
      </c>
      <c r="R52" s="2"/>
      <c r="T52" s="2">
        <v>50</v>
      </c>
      <c r="U52" s="409" t="str">
        <f t="shared" si="9"/>
        <v>6</v>
      </c>
      <c r="V52" s="411" t="str">
        <f t="shared" si="10"/>
        <v>5</v>
      </c>
      <c r="W52" s="410" t="str" cm="1">
        <f t="array" ref="W52" xml:space="preserve"> INDEX($N$3:$N$53, MATCH(TRUE, EXACT(表格1_33411[[#This Row],[鍵盤按鍵]], $M$3:$M$53), 0))</f>
        <v>ˊ</v>
      </c>
      <c r="X52" s="412" cm="1">
        <f t="array" ref="X52" xml:space="preserve"> INDEX(注音編碼對照表!$G$3:$G$58, MATCH(TRUE, EXACT(表格1_33411[[#This Row],[注音編碼]], 注音編碼對照表!$D$3:$D$54), 0))</f>
        <v>5</v>
      </c>
      <c r="Y52" s="24"/>
      <c r="Z52" s="98">
        <f t="shared" si="11"/>
        <v>50</v>
      </c>
      <c r="AA52" s="71" t="str">
        <f t="shared" si="18"/>
        <v>6</v>
      </c>
      <c r="AB52" s="32" t="str" cm="1">
        <f t="array" ref="AB52">INDEX(注音編碼對照表!$E$3:$E$54,MATCH(TRUE,EXACT('RIME設定解析 (2)'!$AA52,注音編碼對照表!$C$3:$C$54),0))</f>
        <v>ˊ</v>
      </c>
      <c r="AC52" s="379" t="str" cm="1">
        <f t="array" ref="AC52">INDEX(注音編碼對照表!$D$3:$D$54,MATCH(TRUE,EXACT('RIME設定解析 (2)'!$AA52,注音編碼對照表!$C$3:$C$54),0))</f>
        <v>5</v>
      </c>
      <c r="AD52" s="430" cm="1">
        <f t="array" ref="AD52">INDEX(注音編碼對照表!$G$3:$G$54,MATCH(TRUE,EXACT('RIME設定解析 (2)'!$AA52,注音編碼對照表!$C$3:$C$54),0))</f>
        <v>5</v>
      </c>
      <c r="AE52" s="2"/>
      <c r="AF52" s="421"/>
      <c r="AG52" s="2"/>
      <c r="AV52" s="11"/>
      <c r="AX52" s="2"/>
      <c r="AY52" s="443"/>
      <c r="BB52" s="2"/>
    </row>
    <row r="53" spans="2:54" ht="32.25">
      <c r="C53" s="2">
        <v>7</v>
      </c>
      <c r="D53" s="21" t="str">
        <f t="shared" si="15"/>
        <v>s</v>
      </c>
      <c r="E53" s="5" t="str">
        <f t="shared" si="16"/>
        <v>ㄋ</v>
      </c>
      <c r="F53" s="5" t="str">
        <f t="shared" si="17"/>
        <v>n</v>
      </c>
      <c r="G53" s="5"/>
      <c r="H53" s="2">
        <f t="shared" si="2"/>
        <v>51</v>
      </c>
      <c r="I53" s="136" t="str">
        <f t="shared" si="3"/>
        <v>7</v>
      </c>
      <c r="J53" s="136" t="str">
        <f t="shared" si="4"/>
        <v>5</v>
      </c>
      <c r="L53" s="2">
        <v>51</v>
      </c>
      <c r="M53" s="21" t="str">
        <f t="shared" si="13"/>
        <v>7</v>
      </c>
      <c r="N53" s="21" t="str">
        <f t="shared" si="6"/>
        <v>˙</v>
      </c>
      <c r="R53" s="2"/>
      <c r="T53" s="2">
        <v>51</v>
      </c>
      <c r="U53" s="409" t="str">
        <f t="shared" si="9"/>
        <v>5</v>
      </c>
      <c r="V53" s="411" t="str">
        <f t="shared" si="10"/>
        <v>7</v>
      </c>
      <c r="W53" s="410" t="str" cm="1">
        <f t="array" ref="W53" xml:space="preserve"> INDEX($N$3:$N$53, MATCH(TRUE, EXACT(表格1_33411[[#This Row],[鍵盤按鍵]], $M$3:$M$53), 0))</f>
        <v>˫</v>
      </c>
      <c r="X53" s="412" cm="1">
        <f t="array" ref="X53" xml:space="preserve"> INDEX(注音編碼對照表!$G$3:$G$58, MATCH(TRUE, EXACT(表格1_33411[[#This Row],[注音編碼]], 注音編碼對照表!$D$3:$D$54), 0))</f>
        <v>7</v>
      </c>
      <c r="Y53" s="24"/>
      <c r="Z53" s="98">
        <f t="shared" si="11"/>
        <v>51</v>
      </c>
      <c r="AA53" s="71" t="str">
        <f t="shared" si="18"/>
        <v>5</v>
      </c>
      <c r="AB53" s="32" t="str" cm="1">
        <f t="array" ref="AB53">INDEX(注音編碼對照表!$E$3:$E$54,MATCH(TRUE,EXACT('RIME設定解析 (2)'!$AA53,注音編碼對照表!$C$3:$C$54),0))</f>
        <v>˫</v>
      </c>
      <c r="AC53" s="379" t="str" cm="1">
        <f t="array" ref="AC53">INDEX(注音編碼對照表!$D$3:$D$54,MATCH(TRUE,EXACT('RIME設定解析 (2)'!$AA53,注音編碼對照表!$C$3:$C$54),0))</f>
        <v>7</v>
      </c>
      <c r="AD53" s="430" cm="1">
        <f t="array" ref="AD53">INDEX(注音編碼對照表!$G$3:$G$54,MATCH(TRUE,EXACT('RIME設定解析 (2)'!$AA53,注音編碼對照表!$C$3:$C$54),0))</f>
        <v>7</v>
      </c>
      <c r="AE53" s="2"/>
      <c r="AF53" s="421"/>
      <c r="AG53" s="2"/>
      <c r="AV53" s="11"/>
      <c r="AX53" s="2"/>
      <c r="AY53" s="443"/>
      <c r="BB53" s="2"/>
    </row>
    <row r="54" spans="2:54" ht="32.25">
      <c r="C54" s="2">
        <v>8</v>
      </c>
      <c r="D54" s="21" t="str">
        <f t="shared" si="15"/>
        <v>x</v>
      </c>
      <c r="E54" s="5" t="str">
        <f t="shared" si="16"/>
        <v>ㄌ</v>
      </c>
      <c r="F54" s="5" t="str">
        <f t="shared" si="17"/>
        <v>l</v>
      </c>
      <c r="G54" s="5"/>
      <c r="H54" s="2">
        <f t="shared" si="2"/>
        <v>52</v>
      </c>
      <c r="I54" s="136" t="str">
        <f t="shared" si="3"/>
        <v>0</v>
      </c>
      <c r="J54" s="136" t="str">
        <f t="shared" si="4"/>
        <v>7</v>
      </c>
      <c r="L54" s="2">
        <v>52</v>
      </c>
      <c r="M54" s="21" t="str">
        <f t="shared" si="13"/>
        <v/>
      </c>
      <c r="N54" s="21" t="str">
        <f t="shared" si="6"/>
        <v/>
      </c>
      <c r="R54" s="2"/>
      <c r="T54" s="2">
        <v>52</v>
      </c>
      <c r="U54" s="409" t="str">
        <f t="shared" si="9"/>
        <v>7</v>
      </c>
      <c r="V54" s="411" t="str">
        <f t="shared" si="10"/>
        <v>0</v>
      </c>
      <c r="W54" s="410" t="str" cm="1">
        <f t="array" ref="W54" xml:space="preserve"> INDEX($N$3:$N$53, MATCH(TRUE, EXACT(表格1_33411[[#This Row],[鍵盤按鍵]], $M$3:$M$53), 0))</f>
        <v>˙</v>
      </c>
      <c r="X54" s="412" t="str" cm="1">
        <f t="array" ref="X54" xml:space="preserve"> INDEX(注音編碼對照表!$G$3:$G$58, MATCH(TRUE, EXACT(表格1_33411[[#This Row],[注音編碼]], 注音編碼對照表!$D$3:$D$54), 0))</f>
        <v>[48]</v>
      </c>
      <c r="Y54" s="24"/>
      <c r="Z54" s="98">
        <f t="shared" si="11"/>
        <v>52</v>
      </c>
      <c r="AA54" s="71" t="str">
        <f t="shared" si="18"/>
        <v>7</v>
      </c>
      <c r="AB54" s="32" t="str" cm="1">
        <f t="array" ref="AB54">INDEX(注音編碼對照表!$E$3:$E$54,MATCH(TRUE,EXACT('RIME設定解析 (2)'!$AA54,注音編碼對照表!$C$3:$C$54),0))</f>
        <v>˙</v>
      </c>
      <c r="AC54" s="379" t="str" cm="1">
        <f t="array" ref="AC54">INDEX(注音編碼對照表!$D$3:$D$54,MATCH(TRUE,EXACT('RIME設定解析 (2)'!$AA54,注音編碼對照表!$C$3:$C$54),0))</f>
        <v>0</v>
      </c>
      <c r="AD54" s="430" t="str" cm="1">
        <f t="array" ref="AD54">INDEX(注音編碼對照表!$G$3:$G$54,MATCH(TRUE,EXACT('RIME設定解析 (2)'!$AA54,注音編碼對照表!$C$3:$C$54),0))</f>
        <v>[48]</v>
      </c>
      <c r="AE54" s="2"/>
      <c r="AF54" s="421"/>
      <c r="AG54" s="2"/>
      <c r="AV54" s="11"/>
      <c r="AX54" s="2"/>
      <c r="AY54" s="443"/>
      <c r="BB54" s="2"/>
    </row>
    <row r="55" spans="2:54" ht="32.25">
      <c r="C55" s="2">
        <v>9</v>
      </c>
      <c r="D55" s="21" t="str">
        <f t="shared" si="15"/>
        <v>e</v>
      </c>
      <c r="E55" s="5" t="str">
        <f t="shared" si="16"/>
        <v>ㄍ</v>
      </c>
      <c r="F55" s="5" t="str">
        <f t="shared" si="17"/>
        <v>k</v>
      </c>
      <c r="G55" s="5"/>
      <c r="I55" s="2"/>
      <c r="J55" s="2"/>
      <c r="R55" s="2"/>
      <c r="Z55" s="24"/>
      <c r="AA55" s="98">
        <f t="shared" si="11"/>
        <v>53</v>
      </c>
      <c r="AB55" s="71" t="str">
        <f xml:space="preserve"> IFERROR( INDEX(表格1_334115[鍵盤按鍵], MATCH($AC55, 表格1_334115[注音符號], 0)), "")</f>
        <v/>
      </c>
      <c r="AC55" s="32" t="s">
        <v>128</v>
      </c>
      <c r="AD55" s="379" t="str">
        <f xml:space="preserve"> IFERROR( INDEX(表格1_334115[注音編碼], MATCH($AC55, 表格1_334115[注音符號], 0)), "")</f>
        <v/>
      </c>
      <c r="AE55" s="433" t="s">
        <v>643</v>
      </c>
      <c r="AW55" s="11"/>
      <c r="AX55" s="2"/>
    </row>
    <row r="56" spans="2:54" ht="32.25">
      <c r="C56" s="2">
        <v>10</v>
      </c>
      <c r="D56" s="21" t="str">
        <f t="shared" si="15"/>
        <v>d</v>
      </c>
      <c r="E56" s="5" t="str">
        <f t="shared" si="16"/>
        <v>ㄎ</v>
      </c>
      <c r="F56" s="5" t="str">
        <f t="shared" si="17"/>
        <v>K</v>
      </c>
      <c r="G56" s="5"/>
      <c r="I56" s="2"/>
      <c r="J56" s="2"/>
      <c r="R56" s="2"/>
      <c r="Z56" s="24"/>
      <c r="AA56" s="98">
        <f t="shared" si="11"/>
        <v>54</v>
      </c>
      <c r="AB56" s="71" t="str">
        <f xml:space="preserve"> IFERROR( INDEX(表格1_334115[鍵盤按鍵], MATCH($AC56, 表格1_334115[注音符號], 0)), "")</f>
        <v/>
      </c>
      <c r="AC56" s="32" t="s">
        <v>130</v>
      </c>
      <c r="AD56" s="379" t="str">
        <f xml:space="preserve"> IFERROR( INDEX(表格1_334115[注音編碼], MATCH($AC56, 表格1_334115[注音符號], 0)), "")</f>
        <v/>
      </c>
      <c r="AE56" s="433" t="s">
        <v>644</v>
      </c>
      <c r="AW56" s="11"/>
      <c r="AX56" s="2"/>
    </row>
    <row r="57" spans="2:54" ht="32.25">
      <c r="C57" s="2">
        <v>11</v>
      </c>
      <c r="D57" s="21" t="str">
        <f t="shared" si="15"/>
        <v>c</v>
      </c>
      <c r="E57" s="5" t="str">
        <f t="shared" si="16"/>
        <v>ㄏ</v>
      </c>
      <c r="F57" s="5" t="str">
        <f t="shared" si="17"/>
        <v>h</v>
      </c>
      <c r="G57" s="5"/>
      <c r="I57" s="2"/>
      <c r="J57" s="2"/>
      <c r="R57" s="2"/>
      <c r="U57" s="450" t="s">
        <v>11</v>
      </c>
      <c r="W57" s="451" t="s">
        <v>642</v>
      </c>
      <c r="X57" s="451" t="s">
        <v>641</v>
      </c>
      <c r="Y57" s="452" t="s">
        <v>383</v>
      </c>
      <c r="Z57" s="24"/>
      <c r="AA57" s="98">
        <f t="shared" si="11"/>
        <v>55</v>
      </c>
      <c r="AB57" s="71" t="str">
        <f xml:space="preserve"> IFERROR( INDEX(表格1_334115[鍵盤按鍵], MATCH($AC57, 表格1_334115[注音符號], 0)), "")</f>
        <v/>
      </c>
      <c r="AC57" s="32" t="s">
        <v>132</v>
      </c>
      <c r="AD57" s="379" t="str">
        <f xml:space="preserve"> IFERROR( INDEX(表格1_334115[注音編碼], MATCH($AC57, 表格1_334115[注音符號], 0)), "")</f>
        <v/>
      </c>
      <c r="AE57" s="433" t="s">
        <v>645</v>
      </c>
      <c r="AW57" s="11"/>
      <c r="AX57" s="2"/>
    </row>
    <row r="58" spans="2:54" ht="32.25">
      <c r="C58" s="2">
        <v>12</v>
      </c>
      <c r="D58" s="21" t="str">
        <f t="shared" si="15"/>
        <v>r</v>
      </c>
      <c r="E58" s="5" t="str">
        <f t="shared" si="16"/>
        <v/>
      </c>
      <c r="F58" s="5" t="str">
        <f t="shared" si="17"/>
        <v/>
      </c>
      <c r="G58" s="5"/>
      <c r="I58" s="2"/>
      <c r="J58" s="2"/>
      <c r="R58" s="2"/>
      <c r="U58" s="453" t="s">
        <v>267</v>
      </c>
      <c r="W58" s="411" t="s">
        <v>621</v>
      </c>
      <c r="X58" s="410" t="s">
        <v>125</v>
      </c>
      <c r="Y58" s="454" t="s">
        <v>203</v>
      </c>
      <c r="Z58" s="24"/>
      <c r="AA58" s="98">
        <f t="shared" si="11"/>
        <v>56</v>
      </c>
      <c r="AB58" s="71" t="str">
        <f xml:space="preserve"> IFERROR( INDEX(表格1_334115[鍵盤按鍵], MATCH($AC58, 表格1_334115[注音符號], 0)), "")</f>
        <v/>
      </c>
      <c r="AC58" s="32" t="s">
        <v>134</v>
      </c>
      <c r="AD58" s="379" t="str">
        <f xml:space="preserve"> IFERROR( INDEX(表格1_334115[注音編碼], MATCH($AC58, 表格1_334115[注音符號], 0)), "")</f>
        <v/>
      </c>
      <c r="AE58" s="433" t="s">
        <v>646</v>
      </c>
      <c r="AW58" s="11"/>
      <c r="AX58" s="2"/>
    </row>
    <row r="59" spans="2:54">
      <c r="C59" s="2">
        <v>13</v>
      </c>
      <c r="D59" s="21" t="str">
        <f t="shared" si="15"/>
        <v>f</v>
      </c>
      <c r="E59" s="5" t="str">
        <f t="shared" si="16"/>
        <v/>
      </c>
      <c r="F59" s="5" t="str">
        <f t="shared" si="17"/>
        <v/>
      </c>
      <c r="G59" s="5"/>
      <c r="I59" s="2"/>
      <c r="J59" s="2"/>
      <c r="R59" s="2"/>
      <c r="U59" s="455" t="s">
        <v>612</v>
      </c>
      <c r="W59" s="411" t="s">
        <v>622</v>
      </c>
      <c r="X59" s="410" t="s">
        <v>99</v>
      </c>
      <c r="Y59" s="456" t="s">
        <v>207</v>
      </c>
      <c r="Z59" s="24"/>
      <c r="AW59" s="11"/>
      <c r="AX59" s="2"/>
    </row>
    <row r="60" spans="2:54">
      <c r="C60" s="2">
        <v>14</v>
      </c>
      <c r="D60" s="21" t="str">
        <f t="shared" si="15"/>
        <v>v</v>
      </c>
      <c r="E60" s="5" t="str">
        <f t="shared" si="16"/>
        <v/>
      </c>
      <c r="F60" s="5" t="str">
        <f t="shared" si="17"/>
        <v/>
      </c>
      <c r="G60" s="5"/>
      <c r="I60" s="2"/>
      <c r="J60" s="2"/>
      <c r="R60" s="2"/>
      <c r="U60" s="453" t="s">
        <v>206</v>
      </c>
      <c r="W60" s="411" t="s">
        <v>619</v>
      </c>
      <c r="X60" s="410" t="s">
        <v>101</v>
      </c>
      <c r="Y60" s="454" t="s">
        <v>160</v>
      </c>
      <c r="Z60" s="24"/>
      <c r="AC60" s="428"/>
      <c r="AD60" s="428"/>
      <c r="AE60" s="429" t="s">
        <v>364</v>
      </c>
      <c r="AW60" s="11"/>
      <c r="AX60" s="2"/>
    </row>
    <row r="61" spans="2:54">
      <c r="C61" s="2">
        <v>15</v>
      </c>
      <c r="D61" s="21" t="str">
        <f t="shared" si="15"/>
        <v>t</v>
      </c>
      <c r="E61" s="5" t="str">
        <f t="shared" si="16"/>
        <v/>
      </c>
      <c r="F61" s="5" t="str">
        <f t="shared" si="17"/>
        <v/>
      </c>
      <c r="G61" s="5"/>
      <c r="I61" s="2"/>
      <c r="J61" s="2"/>
      <c r="R61" s="2"/>
      <c r="Z61" s="24"/>
      <c r="AG61" s="449" t="s">
        <v>652</v>
      </c>
      <c r="AW61" s="11"/>
      <c r="AX61" s="2"/>
    </row>
    <row r="62" spans="2:54">
      <c r="C62" s="2">
        <v>16</v>
      </c>
      <c r="D62" s="21" t="str">
        <f t="shared" si="15"/>
        <v>g</v>
      </c>
      <c r="E62" s="5" t="str">
        <f t="shared" si="16"/>
        <v/>
      </c>
      <c r="F62" s="5" t="str">
        <f t="shared" si="17"/>
        <v/>
      </c>
      <c r="G62" s="5"/>
      <c r="I62" s="2"/>
      <c r="J62" s="2"/>
      <c r="R62" s="2"/>
      <c r="AW62" s="11"/>
      <c r="AX62" s="2"/>
    </row>
    <row r="63" spans="2:54">
      <c r="C63" s="2">
        <v>17</v>
      </c>
      <c r="D63" s="21" t="str">
        <f t="shared" si="15"/>
        <v>b</v>
      </c>
      <c r="E63" s="5" t="str">
        <f t="shared" si="16"/>
        <v>ㆡ</v>
      </c>
      <c r="F63" s="5" t="str">
        <f t="shared" si="17"/>
        <v>j</v>
      </c>
      <c r="G63" s="5"/>
      <c r="I63" s="2"/>
      <c r="J63" s="2"/>
      <c r="R63" s="2"/>
      <c r="AW63" s="11"/>
      <c r="AX63" s="2"/>
    </row>
    <row r="64" spans="2:54">
      <c r="C64" s="2">
        <v>18</v>
      </c>
      <c r="D64" s="21" t="str">
        <f t="shared" si="15"/>
        <v>y</v>
      </c>
      <c r="E64" s="5" t="str">
        <f t="shared" si="16"/>
        <v>ㄗ</v>
      </c>
      <c r="F64" s="5" t="str">
        <f t="shared" si="17"/>
        <v>z</v>
      </c>
      <c r="G64" s="5"/>
      <c r="I64" s="2"/>
      <c r="J64" s="2"/>
      <c r="R64" s="2"/>
      <c r="AW64" s="11"/>
      <c r="AX64" s="2"/>
    </row>
    <row r="65" spans="3:50">
      <c r="C65" s="2">
        <v>19</v>
      </c>
      <c r="D65" s="21" t="str">
        <f t="shared" si="15"/>
        <v>h</v>
      </c>
      <c r="E65" s="5" t="str">
        <f t="shared" si="16"/>
        <v>ㄘ</v>
      </c>
      <c r="F65" s="5" t="str">
        <f t="shared" si="17"/>
        <v>c</v>
      </c>
      <c r="G65" s="5"/>
      <c r="I65" s="2"/>
      <c r="J65" s="2"/>
      <c r="R65" s="2"/>
      <c r="AW65" s="11"/>
      <c r="AX65" s="2"/>
    </row>
    <row r="66" spans="3:50">
      <c r="C66" s="2">
        <v>20</v>
      </c>
      <c r="D66" s="21" t="str">
        <f t="shared" si="15"/>
        <v>n</v>
      </c>
      <c r="E66" s="5" t="str">
        <f t="shared" si="16"/>
        <v>ㄙ</v>
      </c>
      <c r="F66" s="5" t="str">
        <f t="shared" si="17"/>
        <v>s</v>
      </c>
      <c r="G66" s="5"/>
      <c r="I66" s="2"/>
      <c r="J66" s="2"/>
      <c r="R66" s="2"/>
      <c r="AW66" s="11"/>
      <c r="AX66" s="2"/>
    </row>
    <row r="67" spans="3:50">
      <c r="C67" s="2">
        <v>21</v>
      </c>
      <c r="D67" s="21" t="str">
        <f t="shared" si="15"/>
        <v>u</v>
      </c>
      <c r="E67" s="5" t="str">
        <f t="shared" si="16"/>
        <v>ㄧ</v>
      </c>
      <c r="F67" s="5" t="str">
        <f t="shared" si="17"/>
        <v>i</v>
      </c>
      <c r="G67" s="5"/>
      <c r="I67" s="2"/>
      <c r="J67" s="2"/>
      <c r="R67" s="2"/>
      <c r="AW67" s="11"/>
      <c r="AX67" s="2"/>
    </row>
    <row r="68" spans="3:50">
      <c r="C68" s="2">
        <v>22</v>
      </c>
      <c r="D68" s="21" t="str">
        <f t="shared" si="15"/>
        <v>j</v>
      </c>
      <c r="E68" s="5" t="str">
        <f t="shared" si="16"/>
        <v>ㄨ</v>
      </c>
      <c r="F68" s="5" t="str">
        <f t="shared" si="17"/>
        <v>u</v>
      </c>
      <c r="G68" s="5"/>
      <c r="I68" s="2"/>
      <c r="J68" s="2"/>
      <c r="R68" s="2"/>
      <c r="AW68" s="11"/>
      <c r="AX68" s="2"/>
    </row>
    <row r="69" spans="3:50">
      <c r="C69" s="2">
        <v>23</v>
      </c>
      <c r="D69" s="21" t="str">
        <f t="shared" si="15"/>
        <v>m</v>
      </c>
      <c r="E69" s="5" t="str">
        <f t="shared" si="16"/>
        <v>ㄇ</v>
      </c>
      <c r="F69" s="5" t="str">
        <f t="shared" si="17"/>
        <v>M</v>
      </c>
      <c r="G69" s="5"/>
      <c r="I69" s="2"/>
      <c r="J69" s="2"/>
      <c r="R69" s="2"/>
      <c r="AW69" s="11"/>
      <c r="AX69" s="2"/>
    </row>
    <row r="70" spans="3:50">
      <c r="C70" s="2">
        <v>24</v>
      </c>
      <c r="D70" s="21" t="str">
        <f t="shared" si="15"/>
        <v>8</v>
      </c>
      <c r="E70" s="5" t="str">
        <f t="shared" si="16"/>
        <v>ㄚ</v>
      </c>
      <c r="F70" s="5" t="str">
        <f t="shared" si="17"/>
        <v>a</v>
      </c>
      <c r="G70" s="5"/>
      <c r="I70" s="2"/>
      <c r="J70" s="2"/>
      <c r="R70" s="2"/>
      <c r="AW70" s="11"/>
      <c r="AX70" s="2"/>
    </row>
    <row r="71" spans="3:50">
      <c r="C71" s="2">
        <v>25</v>
      </c>
      <c r="D71" s="21" t="str">
        <f t="shared" si="15"/>
        <v>i</v>
      </c>
      <c r="E71" s="5" t="str">
        <f t="shared" si="16"/>
        <v>ㄛ</v>
      </c>
      <c r="F71" s="5" t="str">
        <f t="shared" si="17"/>
        <v>O</v>
      </c>
      <c r="G71" s="5"/>
      <c r="I71" s="2"/>
      <c r="J71" s="2"/>
      <c r="R71" s="2"/>
      <c r="AW71" s="11"/>
      <c r="AX71" s="2"/>
    </row>
    <row r="72" spans="3:50">
      <c r="C72" s="2">
        <v>26</v>
      </c>
      <c r="D72" s="21" t="str">
        <f t="shared" si="15"/>
        <v>k</v>
      </c>
      <c r="E72" s="5" t="str">
        <f t="shared" si="16"/>
        <v>ㄜ</v>
      </c>
      <c r="F72" s="5" t="str">
        <f t="shared" si="17"/>
        <v>o</v>
      </c>
      <c r="G72" s="5"/>
      <c r="I72" s="2"/>
      <c r="J72" s="2"/>
      <c r="R72" s="2"/>
      <c r="AW72" s="11"/>
      <c r="AX72" s="2"/>
    </row>
    <row r="73" spans="3:50">
      <c r="C73" s="2">
        <v>27</v>
      </c>
      <c r="D73" s="21" t="str">
        <f t="shared" si="15"/>
        <v>,</v>
      </c>
      <c r="E73" s="5" t="str">
        <f t="shared" si="16"/>
        <v>ㄝ</v>
      </c>
      <c r="F73" s="5" t="str">
        <f t="shared" si="17"/>
        <v>e</v>
      </c>
      <c r="G73" s="5"/>
      <c r="I73" s="2"/>
      <c r="J73" s="2"/>
      <c r="R73" s="2"/>
      <c r="AW73" s="11"/>
      <c r="AX73" s="2"/>
    </row>
    <row r="74" spans="3:50">
      <c r="C74" s="2">
        <v>28</v>
      </c>
      <c r="D74" s="21" t="str">
        <f t="shared" si="15"/>
        <v>9</v>
      </c>
      <c r="E74" s="5" t="str">
        <f t="shared" si="16"/>
        <v>ㄞ</v>
      </c>
      <c r="F74" s="5" t="str">
        <f t="shared" si="17"/>
        <v>y</v>
      </c>
      <c r="G74" s="5"/>
      <c r="I74" s="2"/>
      <c r="J74" s="2"/>
      <c r="R74" s="2"/>
      <c r="AW74" s="11"/>
      <c r="AX74" s="2"/>
    </row>
    <row r="75" spans="3:50">
      <c r="C75" s="2">
        <v>29</v>
      </c>
      <c r="D75" s="21" t="str">
        <f t="shared" si="15"/>
        <v>o</v>
      </c>
      <c r="E75" s="5" t="str">
        <f t="shared" si="16"/>
        <v/>
      </c>
      <c r="F75" s="5" t="str">
        <f t="shared" si="17"/>
        <v/>
      </c>
      <c r="G75" s="5"/>
      <c r="I75" s="2"/>
      <c r="J75" s="2"/>
      <c r="R75" s="2"/>
      <c r="AW75" s="11"/>
      <c r="AX75" s="2"/>
    </row>
    <row r="76" spans="3:50">
      <c r="C76" s="2">
        <v>30</v>
      </c>
      <c r="D76" s="21" t="str">
        <f t="shared" si="15"/>
        <v>l</v>
      </c>
      <c r="E76" s="5" t="str">
        <f t="shared" si="16"/>
        <v>ㄠ</v>
      </c>
      <c r="F76" s="5" t="str">
        <f t="shared" si="17"/>
        <v>x</v>
      </c>
      <c r="G76" s="5"/>
      <c r="I76" s="2"/>
      <c r="J76" s="2"/>
      <c r="R76" s="2"/>
      <c r="AW76" s="11"/>
      <c r="AX76" s="2"/>
    </row>
    <row r="77" spans="3:50">
      <c r="C77" s="2">
        <v>31</v>
      </c>
      <c r="D77" s="21" t="str">
        <f t="shared" si="15"/>
        <v>.</v>
      </c>
      <c r="E77" s="5" t="str">
        <f t="shared" si="16"/>
        <v>ｎ</v>
      </c>
      <c r="F77" s="5" t="str">
        <f t="shared" si="17"/>
        <v>B</v>
      </c>
      <c r="G77" s="5"/>
      <c r="I77" s="2"/>
      <c r="J77" s="2"/>
      <c r="R77" s="2"/>
      <c r="AW77" s="11"/>
      <c r="AX77" s="2"/>
    </row>
    <row r="78" spans="3:50">
      <c r="C78" s="2">
        <v>32</v>
      </c>
      <c r="D78" s="21" t="str">
        <f t="shared" si="15"/>
        <v>0</v>
      </c>
      <c r="E78" s="5" t="str">
        <f t="shared" si="16"/>
        <v>ㄢ</v>
      </c>
      <c r="F78" s="5" t="str">
        <f t="shared" si="17"/>
        <v>@</v>
      </c>
      <c r="G78" s="5"/>
      <c r="I78" s="2"/>
      <c r="J78" s="2"/>
      <c r="R78" s="2"/>
      <c r="AW78" s="11"/>
      <c r="AX78" s="2"/>
    </row>
    <row r="79" spans="3:50">
      <c r="C79" s="2">
        <v>33</v>
      </c>
      <c r="D79" s="21" t="str">
        <f t="shared" si="15"/>
        <v>p</v>
      </c>
      <c r="E79" s="5" t="str">
        <f t="shared" si="16"/>
        <v>ㄣ</v>
      </c>
      <c r="F79" s="5" t="str">
        <f t="shared" si="17"/>
        <v>N</v>
      </c>
      <c r="G79" s="5"/>
      <c r="I79" s="2"/>
      <c r="J79" s="2"/>
      <c r="R79" s="2"/>
      <c r="AW79" s="11"/>
      <c r="AX79" s="2"/>
    </row>
    <row r="80" spans="3:50">
      <c r="C80" s="2">
        <v>34</v>
      </c>
      <c r="D80" s="21" t="str">
        <f t="shared" si="15"/>
        <v>;</v>
      </c>
      <c r="E80" s="5" t="str">
        <f t="shared" si="16"/>
        <v>ㄤ</v>
      </c>
      <c r="F80" s="5" t="str">
        <f t="shared" si="17"/>
        <v>[</v>
      </c>
      <c r="G80" s="5"/>
      <c r="I80" s="2"/>
      <c r="J80" s="2"/>
      <c r="R80" s="2"/>
      <c r="AW80" s="11"/>
      <c r="AX80" s="2"/>
    </row>
    <row r="81" spans="3:50">
      <c r="C81" s="2">
        <v>35</v>
      </c>
      <c r="D81" s="21" t="str">
        <f t="shared" si="15"/>
        <v>/</v>
      </c>
      <c r="E81" s="5" t="str">
        <f t="shared" si="16"/>
        <v>ㄥ</v>
      </c>
      <c r="F81" s="5" t="str">
        <f t="shared" si="17"/>
        <v>W</v>
      </c>
      <c r="G81" s="5"/>
      <c r="I81" s="2"/>
      <c r="J81" s="2"/>
      <c r="R81" s="2"/>
      <c r="AW81" s="11"/>
      <c r="AX81" s="2"/>
    </row>
    <row r="82" spans="3:50">
      <c r="C82" s="2">
        <v>36</v>
      </c>
      <c r="D82" s="21" t="str">
        <f t="shared" si="15"/>
        <v>-</v>
      </c>
      <c r="E82" s="5" t="str">
        <f t="shared" si="16"/>
        <v>ㄦ</v>
      </c>
      <c r="F82" s="5" t="str">
        <f t="shared" si="17"/>
        <v>R</v>
      </c>
      <c r="G82" s="5"/>
      <c r="I82" s="2"/>
      <c r="J82" s="2"/>
      <c r="R82" s="2"/>
      <c r="AW82" s="11"/>
      <c r="AX82" s="2"/>
    </row>
    <row r="83" spans="3:50">
      <c r="C83" s="2">
        <v>37</v>
      </c>
      <c r="D83" s="21" t="str">
        <f t="shared" si="15"/>
        <v xml:space="preserve"> </v>
      </c>
      <c r="E83" s="5" t="str">
        <f t="shared" si="16"/>
        <v/>
      </c>
      <c r="F83" s="5" t="str">
        <f t="shared" si="17"/>
        <v/>
      </c>
      <c r="G83" s="5"/>
      <c r="I83" s="2"/>
      <c r="J83" s="2"/>
      <c r="R83" s="2"/>
      <c r="AW83" s="11"/>
      <c r="AX83" s="2"/>
    </row>
    <row r="84" spans="3:50">
      <c r="C84" s="2">
        <v>38</v>
      </c>
      <c r="D84" s="21" t="str">
        <f t="shared" si="15"/>
        <v>4</v>
      </c>
      <c r="E84" s="5" t="str">
        <f t="shared" si="16"/>
        <v/>
      </c>
      <c r="F84" s="5" t="str">
        <f t="shared" si="17"/>
        <v/>
      </c>
      <c r="G84" s="5"/>
      <c r="I84" s="2"/>
      <c r="J84" s="2"/>
      <c r="R84" s="2"/>
      <c r="AW84" s="11"/>
      <c r="AX84" s="2"/>
    </row>
    <row r="85" spans="3:50">
      <c r="C85" s="2">
        <v>39</v>
      </c>
      <c r="D85" s="21" t="str">
        <f t="shared" si="15"/>
        <v>3</v>
      </c>
      <c r="E85" s="5" t="str">
        <f t="shared" si="16"/>
        <v/>
      </c>
      <c r="F85" s="5" t="str">
        <f t="shared" si="17"/>
        <v/>
      </c>
      <c r="G85" s="5"/>
      <c r="I85" s="2"/>
      <c r="J85" s="2"/>
      <c r="R85" s="2"/>
      <c r="AW85" s="11"/>
      <c r="AX85" s="2"/>
    </row>
    <row r="86" spans="3:50">
      <c r="C86" s="2">
        <v>40</v>
      </c>
      <c r="D86" s="21" t="str">
        <f t="shared" si="15"/>
        <v>6</v>
      </c>
      <c r="E86" s="5" t="str">
        <f t="shared" si="16"/>
        <v/>
      </c>
      <c r="F86" s="5" t="str">
        <f t="shared" si="17"/>
        <v/>
      </c>
      <c r="G86" s="5"/>
      <c r="I86" s="2"/>
      <c r="J86" s="2"/>
      <c r="R86" s="2"/>
      <c r="AW86" s="11"/>
      <c r="AX86" s="2"/>
    </row>
    <row r="87" spans="3:50">
      <c r="C87" s="2">
        <v>41</v>
      </c>
      <c r="D87" s="21" t="str">
        <f t="shared" si="15"/>
        <v>5</v>
      </c>
      <c r="E87" s="5" t="str">
        <f t="shared" si="16"/>
        <v/>
      </c>
      <c r="F87" s="5" t="str">
        <f t="shared" si="17"/>
        <v/>
      </c>
      <c r="G87" s="5"/>
      <c r="I87" s="2"/>
      <c r="J87" s="2"/>
      <c r="R87" s="2"/>
      <c r="AW87" s="11"/>
      <c r="AX87" s="2"/>
    </row>
    <row r="88" spans="3:50">
      <c r="C88" s="2">
        <v>42</v>
      </c>
      <c r="D88" s="21" t="str">
        <f t="shared" si="15"/>
        <v>7</v>
      </c>
      <c r="E88" s="5" t="str">
        <f t="shared" si="16"/>
        <v/>
      </c>
      <c r="F88" s="5" t="str">
        <f t="shared" si="17"/>
        <v/>
      </c>
      <c r="G88" s="5"/>
      <c r="I88" s="2"/>
      <c r="J88" s="2"/>
      <c r="L88" s="4"/>
      <c r="M88" s="3"/>
      <c r="N88" s="2"/>
      <c r="Q88" s="5"/>
      <c r="R88" s="2"/>
      <c r="AW88" s="11"/>
      <c r="AX88" s="2"/>
    </row>
    <row r="89" spans="3:50">
      <c r="I89" s="2"/>
      <c r="J89" s="2"/>
      <c r="L89" s="4"/>
      <c r="M89" s="3"/>
      <c r="N89" s="2"/>
      <c r="Q89" s="5"/>
      <c r="R89" s="2"/>
      <c r="AW89" s="11"/>
      <c r="AX89" s="2"/>
    </row>
    <row r="90" spans="3:50">
      <c r="I90" s="2"/>
      <c r="J90" s="2"/>
      <c r="L90" s="4"/>
      <c r="M90" s="3"/>
      <c r="N90" s="2"/>
      <c r="Q90" s="5"/>
      <c r="R90" s="2"/>
      <c r="AW90" s="11"/>
      <c r="AX90" s="2"/>
    </row>
    <row r="91" spans="3:50">
      <c r="I91" s="2"/>
      <c r="J91" s="2"/>
      <c r="L91" s="4"/>
      <c r="M91" s="3"/>
      <c r="N91" s="2"/>
      <c r="Q91" s="5"/>
      <c r="R91" s="2"/>
      <c r="AW91" s="11"/>
      <c r="AX91" s="2"/>
    </row>
    <row r="92" spans="3:50">
      <c r="I92" s="2"/>
      <c r="J92" s="2"/>
      <c r="L92" s="4"/>
      <c r="M92" s="3"/>
      <c r="N92" s="2"/>
      <c r="Q92" s="5"/>
      <c r="R92" s="2"/>
      <c r="AW92" s="11"/>
      <c r="AX92" s="2"/>
    </row>
    <row r="93" spans="3:50">
      <c r="I93" s="2"/>
      <c r="J93" s="2"/>
      <c r="L93" s="4"/>
      <c r="M93" s="3"/>
      <c r="N93" s="2"/>
      <c r="Q93" s="5"/>
      <c r="R93" s="2"/>
      <c r="AW93" s="11"/>
      <c r="AX93" s="2"/>
    </row>
    <row r="94" spans="3:50">
      <c r="I94" s="2"/>
      <c r="J94" s="2"/>
      <c r="L94" s="4"/>
      <c r="M94" s="3"/>
      <c r="N94" s="2"/>
      <c r="Q94" s="5"/>
      <c r="R94" s="2"/>
      <c r="AW94" s="11"/>
      <c r="AX94" s="2"/>
    </row>
    <row r="95" spans="3:50">
      <c r="I95" s="2"/>
      <c r="J95" s="2"/>
      <c r="AW95" s="11"/>
      <c r="AX95" s="2"/>
    </row>
    <row r="96" spans="3:50">
      <c r="I96" s="2"/>
      <c r="J96" s="2"/>
      <c r="AW96" s="11"/>
      <c r="AX96" s="2"/>
    </row>
    <row r="97" spans="9:50">
      <c r="I97" s="2"/>
      <c r="J97" s="2"/>
      <c r="AW97" s="11"/>
      <c r="AX97" s="2"/>
    </row>
    <row r="98" spans="9:50">
      <c r="I98" s="2"/>
      <c r="J98" s="2"/>
      <c r="AW98" s="11"/>
      <c r="AX98" s="2"/>
    </row>
    <row r="99" spans="9:50">
      <c r="AW99" s="11"/>
      <c r="AX99" s="2"/>
    </row>
  </sheetData>
  <autoFilter ref="AA1:AI58" xr:uid="{7CDD5FA8-BD44-4B3C-8152-F8DC02F9E201}"/>
  <phoneticPr fontId="9" type="noConversion"/>
  <conditionalFormatting sqref="AB55:AB58 AA3:AA54">
    <cfRule type="cellIs" dxfId="1" priority="1" operator="equal">
      <formula>CHAR(32)</formula>
    </cfRule>
  </conditionalFormatting>
  <hyperlinks>
    <hyperlink ref="B2" r:id="rId1" xr:uid="{E5A2C35F-DE7E-4550-A505-F07608F4140C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227A-E18F-42DC-8F96-79ED3E5EA52C}">
  <dimension ref="B1:BC58"/>
  <sheetViews>
    <sheetView topLeftCell="A9" workbookViewId="0">
      <selection activeCell="D35" sqref="D35:D48"/>
    </sheetView>
  </sheetViews>
  <sheetFormatPr defaultRowHeight="25.5"/>
  <cols>
    <col min="1" max="1" width="2" customWidth="1"/>
    <col min="2" max="2" width="4.8984375" style="392" customWidth="1"/>
    <col min="3" max="5" width="8.796875" customWidth="1"/>
    <col min="6" max="6" width="13.69921875" customWidth="1"/>
    <col min="7" max="7" width="2.296875" customWidth="1"/>
    <col min="8" max="51" width="3.19921875" style="355" customWidth="1"/>
    <col min="52" max="53" width="3.19921875" style="356" customWidth="1"/>
    <col min="54" max="55" width="8.796875" style="356"/>
  </cols>
  <sheetData>
    <row r="1" spans="2:55" ht="32.25">
      <c r="B1" s="393" t="s">
        <v>629</v>
      </c>
      <c r="C1" s="139"/>
      <c r="D1" s="8"/>
      <c r="E1" s="139"/>
      <c r="F1" s="140"/>
    </row>
    <row r="2" spans="2:55" ht="26.25" thickBot="1">
      <c r="B2" s="395" t="s">
        <v>630</v>
      </c>
      <c r="C2" s="396" t="s">
        <v>19</v>
      </c>
      <c r="D2" s="397" t="s">
        <v>15</v>
      </c>
      <c r="E2" s="398" t="s">
        <v>585</v>
      </c>
      <c r="F2" s="399" t="s">
        <v>16</v>
      </c>
      <c r="H2" s="361" t="str">
        <f xml:space="preserve"> "  alphabet: '" &amp; _xlfn.CONCAT(C$3:C$48, C$49:C$54) &amp; "'"</f>
        <v xml:space="preserve">  alphabet: '1q!a2wsxedE?cyhnYrfvbuUjJ8*iIk,&lt;9(lL0;:-OAm/p. 43657'</v>
      </c>
      <c r="I2" s="359"/>
      <c r="J2" s="359"/>
      <c r="K2" s="359"/>
      <c r="L2" s="359"/>
      <c r="M2" s="359"/>
      <c r="N2" s="359"/>
      <c r="O2" s="359"/>
      <c r="P2" s="359"/>
      <c r="Q2" s="359"/>
      <c r="R2" s="359"/>
      <c r="S2" s="359"/>
      <c r="T2" s="359"/>
      <c r="U2" s="359"/>
      <c r="V2" s="359"/>
      <c r="W2" s="359"/>
      <c r="X2" s="359"/>
      <c r="Y2" s="359"/>
      <c r="Z2" s="359"/>
      <c r="AA2" s="359"/>
      <c r="AB2" s="359"/>
    </row>
    <row r="3" spans="2:55" ht="39.75" thickTop="1">
      <c r="B3" s="391">
        <f>ROW() - 2</f>
        <v>1</v>
      </c>
      <c r="C3" s="71" t="s">
        <v>361</v>
      </c>
      <c r="D3" s="400" t="s">
        <v>20</v>
      </c>
      <c r="E3" s="379" t="s">
        <v>217</v>
      </c>
      <c r="F3" s="33" t="s">
        <v>217</v>
      </c>
      <c r="H3" s="361" t="str">
        <f xml:space="preserve"> "  initials: '" &amp; _xlfn.CONCAT(C$3:C$48) &amp; "'"</f>
        <v xml:space="preserve">  initials: '1q!a2wsxedE?cyhnYrfvbuUjJ8*iIk,&lt;9(lL0;:-OAm/p.'</v>
      </c>
      <c r="I3" s="359"/>
      <c r="J3" s="359"/>
      <c r="K3" s="359"/>
      <c r="L3" s="359"/>
      <c r="M3" s="359"/>
      <c r="N3" s="359"/>
      <c r="O3" s="359"/>
      <c r="P3" s="359"/>
      <c r="Q3" s="359"/>
      <c r="R3" s="359"/>
      <c r="S3" s="359"/>
      <c r="T3" s="359"/>
      <c r="U3" s="359"/>
      <c r="V3" s="359"/>
      <c r="W3" s="359"/>
      <c r="X3" s="359"/>
      <c r="Y3" s="359"/>
      <c r="Z3" s="359"/>
      <c r="AA3" s="359"/>
      <c r="AB3" s="359"/>
    </row>
    <row r="4" spans="2:55" ht="39">
      <c r="B4" s="391">
        <f t="shared" ref="B4:B58" si="0">ROW() - 2</f>
        <v>2</v>
      </c>
      <c r="C4" s="71" t="s">
        <v>353</v>
      </c>
      <c r="D4" s="400" t="s">
        <v>23</v>
      </c>
      <c r="E4" s="379" t="s">
        <v>400</v>
      </c>
      <c r="F4" s="33" t="s">
        <v>392</v>
      </c>
      <c r="H4" s="361" t="str">
        <f xml:space="preserve"> "  finals:   '" &amp; _xlfn.CONCAT(C$49:C$54) &amp; "'"</f>
        <v xml:space="preserve">  finals:   ' 43657'</v>
      </c>
      <c r="I4" s="359"/>
      <c r="J4" s="359"/>
      <c r="K4" s="359"/>
      <c r="L4" s="359"/>
      <c r="M4" s="359"/>
      <c r="N4" s="359"/>
      <c r="O4" s="359"/>
      <c r="P4" s="359"/>
      <c r="Q4" s="359"/>
      <c r="R4" s="359"/>
      <c r="S4" s="359"/>
      <c r="T4" s="359"/>
      <c r="U4" s="359"/>
      <c r="V4" s="359"/>
      <c r="W4" s="359"/>
      <c r="X4" s="359"/>
      <c r="Y4" s="359"/>
      <c r="Z4" s="359"/>
      <c r="AA4" s="359"/>
      <c r="AB4" s="359"/>
    </row>
    <row r="5" spans="2:55" ht="39">
      <c r="B5" s="391">
        <f t="shared" si="0"/>
        <v>3</v>
      </c>
      <c r="C5" s="71" t="s">
        <v>394</v>
      </c>
      <c r="D5" s="400" t="s">
        <v>27</v>
      </c>
      <c r="E5" s="379" t="s">
        <v>190</v>
      </c>
      <c r="F5" s="33" t="s">
        <v>190</v>
      </c>
    </row>
    <row r="6" spans="2:55" ht="39">
      <c r="B6" s="391">
        <f t="shared" si="0"/>
        <v>4</v>
      </c>
      <c r="C6" s="71" t="s">
        <v>351</v>
      </c>
      <c r="D6" s="400" t="s">
        <v>83</v>
      </c>
      <c r="E6" s="379" t="s">
        <v>143</v>
      </c>
      <c r="F6" s="33" t="s">
        <v>143</v>
      </c>
    </row>
    <row r="7" spans="2:55" ht="39">
      <c r="B7" s="391">
        <f t="shared" si="0"/>
        <v>5</v>
      </c>
      <c r="C7" s="71" t="s">
        <v>347</v>
      </c>
      <c r="D7" s="400" t="s">
        <v>29</v>
      </c>
      <c r="E7" s="379" t="s">
        <v>30</v>
      </c>
      <c r="F7" s="33" t="s">
        <v>30</v>
      </c>
      <c r="H7" s="357" t="s">
        <v>587</v>
      </c>
    </row>
    <row r="8" spans="2:55" ht="39">
      <c r="B8" s="391">
        <f t="shared" si="0"/>
        <v>6</v>
      </c>
      <c r="C8" s="71" t="s">
        <v>341</v>
      </c>
      <c r="D8" s="400" t="s">
        <v>31</v>
      </c>
      <c r="E8" s="379" t="s">
        <v>408</v>
      </c>
      <c r="F8" s="33" t="s">
        <v>32</v>
      </c>
      <c r="H8" s="358" t="str">
        <f xml:space="preserve"> "- ""xlit|" &amp; _xlfn.CONCAT(E3:E54) &amp; "|" &amp; _xlfn.CONCAT(C3:C54) &amp; "|"""</f>
        <v>- "xlit|pPbmtTnlkKgwhzcsjZCSJiIuUaAOQoeEyYxX@[]R}{MWNB123570|1q!a2wsxedE?cyhnYrfvbuUjJ8*iIk,&lt;9(lL0;:-OAm/p. 43657|"</v>
      </c>
      <c r="I8" s="359"/>
      <c r="J8" s="359"/>
      <c r="K8" s="359"/>
      <c r="L8" s="359"/>
      <c r="M8" s="359"/>
      <c r="N8" s="359"/>
      <c r="O8" s="359"/>
      <c r="P8" s="359"/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60"/>
      <c r="BA8" s="360"/>
      <c r="BB8" s="360"/>
      <c r="BC8" s="360"/>
    </row>
    <row r="9" spans="2:55" ht="39">
      <c r="B9" s="391">
        <f t="shared" si="0"/>
        <v>7</v>
      </c>
      <c r="C9" s="71" t="s">
        <v>338</v>
      </c>
      <c r="D9" s="400" t="s">
        <v>33</v>
      </c>
      <c r="E9" s="379" t="s">
        <v>34</v>
      </c>
      <c r="F9" s="33" t="s">
        <v>34</v>
      </c>
    </row>
    <row r="10" spans="2:55" ht="39">
      <c r="B10" s="391">
        <f t="shared" si="0"/>
        <v>8</v>
      </c>
      <c r="C10" s="71" t="s">
        <v>332</v>
      </c>
      <c r="D10" s="400" t="s">
        <v>85</v>
      </c>
      <c r="E10" s="379" t="s">
        <v>86</v>
      </c>
      <c r="F10" s="33" t="s">
        <v>86</v>
      </c>
    </row>
    <row r="11" spans="2:55" ht="39">
      <c r="B11" s="391">
        <f t="shared" si="0"/>
        <v>9</v>
      </c>
      <c r="C11" s="71" t="s">
        <v>329</v>
      </c>
      <c r="D11" s="400" t="s">
        <v>36</v>
      </c>
      <c r="E11" s="379" t="s">
        <v>37</v>
      </c>
      <c r="F11" s="33" t="s">
        <v>37</v>
      </c>
      <c r="H11" s="357" t="s">
        <v>588</v>
      </c>
    </row>
    <row r="12" spans="2:55" ht="39">
      <c r="B12" s="391">
        <f t="shared" si="0"/>
        <v>10</v>
      </c>
      <c r="C12" s="71" t="s">
        <v>309</v>
      </c>
      <c r="D12" s="400" t="s">
        <v>38</v>
      </c>
      <c r="E12" s="379" t="s">
        <v>425</v>
      </c>
      <c r="F12" s="33" t="s">
        <v>418</v>
      </c>
      <c r="H12" s="394" t="str">
        <f xml:space="preserve"> "- ""xlit|" &amp; _xlfn.CONCAT(C3:C54) &amp; "|" &amp; _xlfn.CONCAT(D3:D54) &amp; "|"""</f>
        <v>- "xlit|1q!a2wsxedE?cyhnYrfvbuUjJ8*iIk,&lt;9(lL0;:-OAm/p. 43657|ㄅㄆㆠㄇㄉㄊㄋㄌㄍㄎㆣㄥㄏㄗㄘㄙㆡㄐㄑㄒㆢㄧㆪㄨㆫㄚㆩㆦㆧㄜㆤㆥㄞㆮㄠㆯㄢㄤㆲㄦㆱㆰㆬㆭㄣｎˉˋ˪ˊ˫．|"</v>
      </c>
      <c r="I12" s="359"/>
      <c r="J12" s="359"/>
      <c r="K12" s="359"/>
      <c r="L12" s="359"/>
      <c r="M12" s="359"/>
      <c r="N12" s="359"/>
      <c r="O12" s="359"/>
      <c r="P12" s="359"/>
      <c r="Q12" s="359"/>
      <c r="R12" s="359"/>
      <c r="S12" s="359"/>
      <c r="T12" s="359"/>
      <c r="U12" s="359"/>
      <c r="V12" s="359"/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60"/>
      <c r="BA12" s="360"/>
      <c r="BB12" s="360"/>
      <c r="BC12" s="360"/>
    </row>
    <row r="13" spans="2:55" ht="39">
      <c r="B13" s="391">
        <f t="shared" si="0"/>
        <v>11</v>
      </c>
      <c r="C13" s="71" t="s">
        <v>322</v>
      </c>
      <c r="D13" s="400" t="s">
        <v>41</v>
      </c>
      <c r="E13" s="379" t="s">
        <v>184</v>
      </c>
      <c r="F13" s="33" t="s">
        <v>184</v>
      </c>
    </row>
    <row r="14" spans="2:55" ht="39">
      <c r="B14" s="391">
        <f t="shared" si="0"/>
        <v>12</v>
      </c>
      <c r="C14" s="71" t="s">
        <v>429</v>
      </c>
      <c r="D14" s="400" t="s">
        <v>127</v>
      </c>
      <c r="E14" s="379" t="s">
        <v>341</v>
      </c>
      <c r="F14" s="33" t="s">
        <v>613</v>
      </c>
    </row>
    <row r="15" spans="2:55" ht="39">
      <c r="B15" s="391">
        <f t="shared" si="0"/>
        <v>13</v>
      </c>
      <c r="C15" s="71" t="s">
        <v>305</v>
      </c>
      <c r="D15" s="400" t="s">
        <v>52</v>
      </c>
      <c r="E15" s="379" t="s">
        <v>422</v>
      </c>
      <c r="F15" s="33" t="s">
        <v>422</v>
      </c>
      <c r="H15" s="357" t="s">
        <v>589</v>
      </c>
    </row>
    <row r="16" spans="2:55" ht="39">
      <c r="B16" s="391">
        <f t="shared" si="0"/>
        <v>14</v>
      </c>
      <c r="C16" s="380" t="s">
        <v>590</v>
      </c>
      <c r="D16" s="401" t="s">
        <v>43</v>
      </c>
      <c r="E16" s="383" t="s">
        <v>179</v>
      </c>
      <c r="F16" s="382" t="s">
        <v>44</v>
      </c>
      <c r="H16" s="394" t="str">
        <f xml:space="preserve"> "- ""xlit|" &amp; _xlfn.CONCAT(E3:E54) &amp; "|" &amp; _xlfn.CONCAT(D3:D54) &amp; "|"""</f>
        <v>- "xlit|pPbmtTnlkKgwhzcsjZCSJiIuUaAOQoeEyYxX@[]R}{MWNB123570|ㄅㄆㆠㄇㄉㄊㄋㄌㄍㄎㆣㄥㄏㄗㄘㄙㆡㄐㄑㄒㆢㄧㆪㄨㆫㄚㆩㆦㆧㄜㆤㆥㄞㆮㄠㆯㄢㄤㆲㄦㆱㆰㆬㆭㄣｎˉˋ˪ˊ˫．|"</v>
      </c>
      <c r="I16" s="359"/>
      <c r="J16" s="359"/>
      <c r="K16" s="359"/>
      <c r="L16" s="359"/>
      <c r="M16" s="359"/>
      <c r="N16" s="359"/>
      <c r="O16" s="359"/>
      <c r="P16" s="359"/>
      <c r="Q16" s="359"/>
      <c r="R16" s="359"/>
      <c r="S16" s="359"/>
      <c r="T16" s="359"/>
      <c r="U16" s="359"/>
      <c r="V16" s="359"/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60"/>
      <c r="BA16" s="360"/>
      <c r="BB16" s="360"/>
      <c r="BC16" s="360"/>
    </row>
    <row r="17" spans="2:6" ht="39">
      <c r="B17" s="391">
        <f t="shared" si="0"/>
        <v>15</v>
      </c>
      <c r="C17" s="380" t="s">
        <v>422</v>
      </c>
      <c r="D17" s="401" t="s">
        <v>46</v>
      </c>
      <c r="E17" s="383" t="s">
        <v>305</v>
      </c>
      <c r="F17" s="382" t="s">
        <v>614</v>
      </c>
    </row>
    <row r="18" spans="2:6" ht="39">
      <c r="B18" s="391">
        <f t="shared" si="0"/>
        <v>16</v>
      </c>
      <c r="C18" s="380" t="s">
        <v>34</v>
      </c>
      <c r="D18" s="401" t="s">
        <v>50</v>
      </c>
      <c r="E18" s="383" t="s">
        <v>338</v>
      </c>
      <c r="F18" s="382" t="s">
        <v>338</v>
      </c>
    </row>
    <row r="19" spans="2:6" ht="39">
      <c r="B19" s="391">
        <f t="shared" si="0"/>
        <v>17</v>
      </c>
      <c r="C19" s="380" t="s">
        <v>447</v>
      </c>
      <c r="D19" s="401" t="s">
        <v>48</v>
      </c>
      <c r="E19" s="383" t="s">
        <v>254</v>
      </c>
      <c r="F19" s="382" t="s">
        <v>254</v>
      </c>
    </row>
    <row r="20" spans="2:6" ht="39">
      <c r="B20" s="391">
        <f t="shared" si="0"/>
        <v>18</v>
      </c>
      <c r="C20" s="384" t="s">
        <v>283</v>
      </c>
      <c r="D20" s="402" t="s">
        <v>89</v>
      </c>
      <c r="E20" s="387" t="s">
        <v>449</v>
      </c>
      <c r="F20" s="386" t="s">
        <v>615</v>
      </c>
    </row>
    <row r="21" spans="2:6" ht="39">
      <c r="B21" s="391">
        <f t="shared" si="0"/>
        <v>19</v>
      </c>
      <c r="C21" s="384" t="s">
        <v>602</v>
      </c>
      <c r="D21" s="402" t="s">
        <v>91</v>
      </c>
      <c r="E21" s="388" t="s">
        <v>456</v>
      </c>
      <c r="F21" s="386" t="s">
        <v>616</v>
      </c>
    </row>
    <row r="22" spans="2:6" ht="39">
      <c r="B22" s="391">
        <f t="shared" si="0"/>
        <v>20</v>
      </c>
      <c r="C22" s="384" t="s">
        <v>603</v>
      </c>
      <c r="D22" s="402" t="s">
        <v>284</v>
      </c>
      <c r="E22" s="388" t="s">
        <v>460</v>
      </c>
      <c r="F22" s="386" t="s">
        <v>461</v>
      </c>
    </row>
    <row r="23" spans="2:6" ht="39">
      <c r="B23" s="391">
        <f t="shared" si="0"/>
        <v>21</v>
      </c>
      <c r="C23" s="384" t="s">
        <v>190</v>
      </c>
      <c r="D23" s="402" t="s">
        <v>109</v>
      </c>
      <c r="E23" s="387" t="s">
        <v>249</v>
      </c>
      <c r="F23" s="386" t="s">
        <v>607</v>
      </c>
    </row>
    <row r="24" spans="2:6" ht="39">
      <c r="B24" s="391">
        <f t="shared" si="0"/>
        <v>22</v>
      </c>
      <c r="C24" s="71" t="s">
        <v>196</v>
      </c>
      <c r="D24" s="400" t="s">
        <v>54</v>
      </c>
      <c r="E24" s="379" t="s">
        <v>279</v>
      </c>
      <c r="F24" s="33" t="s">
        <v>279</v>
      </c>
    </row>
    <row r="25" spans="2:6" ht="39">
      <c r="B25" s="391">
        <f t="shared" si="0"/>
        <v>23</v>
      </c>
      <c r="C25" s="389" t="s">
        <v>259</v>
      </c>
      <c r="D25" s="400" t="s">
        <v>111</v>
      </c>
      <c r="E25" s="390" t="s">
        <v>275</v>
      </c>
      <c r="F25" s="33" t="s">
        <v>513</v>
      </c>
    </row>
    <row r="26" spans="2:6" ht="39">
      <c r="B26" s="391">
        <f t="shared" si="0"/>
        <v>24</v>
      </c>
      <c r="C26" s="71" t="s">
        <v>254</v>
      </c>
      <c r="D26" s="400" t="s">
        <v>56</v>
      </c>
      <c r="E26" s="379" t="s">
        <v>196</v>
      </c>
      <c r="F26" s="33" t="s">
        <v>196</v>
      </c>
    </row>
    <row r="27" spans="2:6" ht="39">
      <c r="B27" s="391">
        <f t="shared" si="0"/>
        <v>25</v>
      </c>
      <c r="C27" s="71" t="s">
        <v>249</v>
      </c>
      <c r="D27" s="400" t="s">
        <v>113</v>
      </c>
      <c r="E27" s="379" t="s">
        <v>259</v>
      </c>
      <c r="F27" s="33" t="s">
        <v>518</v>
      </c>
    </row>
    <row r="28" spans="2:6" ht="39">
      <c r="B28" s="391">
        <f t="shared" si="0"/>
        <v>26</v>
      </c>
      <c r="C28" s="71" t="s">
        <v>591</v>
      </c>
      <c r="D28" s="400" t="s">
        <v>58</v>
      </c>
      <c r="E28" s="379" t="s">
        <v>351</v>
      </c>
      <c r="F28" s="33" t="s">
        <v>351</v>
      </c>
    </row>
    <row r="29" spans="2:6" ht="39">
      <c r="B29" s="391">
        <f t="shared" si="0"/>
        <v>27</v>
      </c>
      <c r="C29" s="71" t="s">
        <v>281</v>
      </c>
      <c r="D29" s="400" t="s">
        <v>115</v>
      </c>
      <c r="E29" s="379" t="s">
        <v>612</v>
      </c>
      <c r="F29" s="33" t="s">
        <v>276</v>
      </c>
    </row>
    <row r="30" spans="2:6" ht="39">
      <c r="B30" s="391">
        <f t="shared" si="0"/>
        <v>28</v>
      </c>
      <c r="C30" s="71" t="s">
        <v>279</v>
      </c>
      <c r="D30" s="400" t="s">
        <v>67</v>
      </c>
      <c r="E30" s="379" t="s">
        <v>267</v>
      </c>
      <c r="F30" s="33" t="s">
        <v>346</v>
      </c>
    </row>
    <row r="31" spans="2:6" ht="39">
      <c r="B31" s="391">
        <f t="shared" si="0"/>
        <v>29</v>
      </c>
      <c r="C31" s="71" t="s">
        <v>275</v>
      </c>
      <c r="D31" s="400" t="s">
        <v>121</v>
      </c>
      <c r="E31" s="379" t="s">
        <v>558</v>
      </c>
      <c r="F31" s="33" t="s">
        <v>273</v>
      </c>
    </row>
    <row r="32" spans="2:6" ht="39">
      <c r="B32" s="391">
        <f t="shared" si="0"/>
        <v>30</v>
      </c>
      <c r="C32" s="71" t="s">
        <v>37</v>
      </c>
      <c r="D32" s="400" t="s">
        <v>473</v>
      </c>
      <c r="E32" s="379" t="s">
        <v>65</v>
      </c>
      <c r="F32" s="33" t="s">
        <v>65</v>
      </c>
    </row>
    <row r="33" spans="2:6" ht="39">
      <c r="B33" s="391">
        <f t="shared" si="0"/>
        <v>31</v>
      </c>
      <c r="C33" s="71" t="s">
        <v>225</v>
      </c>
      <c r="D33" s="400" t="s">
        <v>61</v>
      </c>
      <c r="E33" s="379" t="s">
        <v>329</v>
      </c>
      <c r="F33" s="33" t="s">
        <v>329</v>
      </c>
    </row>
    <row r="34" spans="2:6" ht="39">
      <c r="B34" s="391">
        <f t="shared" si="0"/>
        <v>32</v>
      </c>
      <c r="C34" s="71" t="s">
        <v>223</v>
      </c>
      <c r="D34" s="400" t="s">
        <v>119</v>
      </c>
      <c r="E34" s="379" t="s">
        <v>322</v>
      </c>
      <c r="F34" s="33" t="s">
        <v>270</v>
      </c>
    </row>
    <row r="35" spans="2:6" ht="39">
      <c r="B35" s="391">
        <f t="shared" si="0"/>
        <v>33</v>
      </c>
      <c r="C35" s="71" t="s">
        <v>264</v>
      </c>
      <c r="D35" s="400" t="s">
        <v>241</v>
      </c>
      <c r="E35" s="379" t="s">
        <v>590</v>
      </c>
      <c r="F35" s="33" t="s">
        <v>330</v>
      </c>
    </row>
    <row r="36" spans="2:6" ht="39">
      <c r="B36" s="391">
        <f t="shared" si="0"/>
        <v>34</v>
      </c>
      <c r="C36" s="71" t="s">
        <v>240</v>
      </c>
      <c r="D36" s="400" t="s">
        <v>117</v>
      </c>
      <c r="E36" s="379" t="s">
        <v>447</v>
      </c>
      <c r="F36" s="33" t="s">
        <v>268</v>
      </c>
    </row>
    <row r="37" spans="2:6" ht="39">
      <c r="B37" s="391">
        <f t="shared" si="0"/>
        <v>35</v>
      </c>
      <c r="C37" s="71" t="s">
        <v>86</v>
      </c>
      <c r="D37" s="400" t="s">
        <v>72</v>
      </c>
      <c r="E37" s="379" t="s">
        <v>332</v>
      </c>
      <c r="F37" s="33" t="s">
        <v>326</v>
      </c>
    </row>
    <row r="38" spans="2:6" ht="39">
      <c r="B38" s="391">
        <f t="shared" si="0"/>
        <v>36</v>
      </c>
      <c r="C38" s="71" t="s">
        <v>231</v>
      </c>
      <c r="D38" s="400" t="s">
        <v>123</v>
      </c>
      <c r="E38" s="379" t="s">
        <v>569</v>
      </c>
      <c r="F38" s="33" t="s">
        <v>265</v>
      </c>
    </row>
    <row r="39" spans="2:6" ht="39">
      <c r="B39" s="391">
        <f t="shared" si="0"/>
        <v>37</v>
      </c>
      <c r="C39" s="71" t="s">
        <v>219</v>
      </c>
      <c r="D39" s="400" t="s">
        <v>97</v>
      </c>
      <c r="E39" s="379" t="s">
        <v>617</v>
      </c>
      <c r="F39" s="33" t="s">
        <v>177</v>
      </c>
    </row>
    <row r="40" spans="2:6" ht="39">
      <c r="B40" s="391">
        <f t="shared" si="0"/>
        <v>38</v>
      </c>
      <c r="C40" s="71" t="s">
        <v>212</v>
      </c>
      <c r="D40" s="400" t="s">
        <v>95</v>
      </c>
      <c r="E40" s="379" t="s">
        <v>618</v>
      </c>
      <c r="F40" s="33" t="s">
        <v>163</v>
      </c>
    </row>
    <row r="41" spans="2:6" ht="39">
      <c r="B41" s="391">
        <f t="shared" si="0"/>
        <v>39</v>
      </c>
      <c r="C41" s="71" t="s">
        <v>206</v>
      </c>
      <c r="D41" s="400" t="s">
        <v>101</v>
      </c>
      <c r="E41" s="379" t="s">
        <v>619</v>
      </c>
      <c r="F41" s="33" t="s">
        <v>160</v>
      </c>
    </row>
    <row r="42" spans="2:6" ht="39">
      <c r="B42" s="391">
        <f t="shared" si="0"/>
        <v>40</v>
      </c>
      <c r="C42" s="71" t="s">
        <v>198</v>
      </c>
      <c r="D42" s="400" t="s">
        <v>620</v>
      </c>
      <c r="E42" s="379" t="s">
        <v>560</v>
      </c>
      <c r="F42" s="33" t="s">
        <v>522</v>
      </c>
    </row>
    <row r="43" spans="2:6" ht="39">
      <c r="B43" s="391">
        <f t="shared" si="0"/>
        <v>41</v>
      </c>
      <c r="C43" s="71" t="s">
        <v>267</v>
      </c>
      <c r="D43" s="400" t="s">
        <v>125</v>
      </c>
      <c r="E43" s="379" t="s">
        <v>621</v>
      </c>
      <c r="F43" s="33" t="s">
        <v>203</v>
      </c>
    </row>
    <row r="44" spans="2:6" ht="39">
      <c r="B44" s="391">
        <f t="shared" si="0"/>
        <v>42</v>
      </c>
      <c r="C44" s="71" t="s">
        <v>612</v>
      </c>
      <c r="D44" s="400" t="s">
        <v>99</v>
      </c>
      <c r="E44" s="379" t="s">
        <v>622</v>
      </c>
      <c r="F44" s="33" t="s">
        <v>207</v>
      </c>
    </row>
    <row r="45" spans="2:6" ht="39">
      <c r="B45" s="391">
        <f t="shared" si="0"/>
        <v>43</v>
      </c>
      <c r="C45" s="71" t="s">
        <v>143</v>
      </c>
      <c r="D45" s="400" t="s">
        <v>145</v>
      </c>
      <c r="E45" s="379" t="s">
        <v>525</v>
      </c>
      <c r="F45" s="33" t="s">
        <v>608</v>
      </c>
    </row>
    <row r="46" spans="2:6" ht="39">
      <c r="B46" s="391">
        <f t="shared" si="0"/>
        <v>44</v>
      </c>
      <c r="C46" s="71" t="s">
        <v>202</v>
      </c>
      <c r="D46" s="400" t="s">
        <v>74</v>
      </c>
      <c r="E46" s="379" t="s">
        <v>559</v>
      </c>
      <c r="F46" s="33" t="s">
        <v>494</v>
      </c>
    </row>
    <row r="47" spans="2:6" ht="39">
      <c r="B47" s="391">
        <f t="shared" si="0"/>
        <v>45</v>
      </c>
      <c r="C47" s="71" t="s">
        <v>217</v>
      </c>
      <c r="D47" s="400" t="s">
        <v>76</v>
      </c>
      <c r="E47" s="379" t="s">
        <v>571</v>
      </c>
      <c r="F47" s="33" t="s">
        <v>489</v>
      </c>
    </row>
    <row r="48" spans="2:6" ht="39">
      <c r="B48" s="391">
        <f t="shared" si="0"/>
        <v>46</v>
      </c>
      <c r="C48" s="71" t="s">
        <v>596</v>
      </c>
      <c r="D48" s="400" t="s">
        <v>594</v>
      </c>
      <c r="E48" s="379" t="s">
        <v>144</v>
      </c>
      <c r="F48" s="33" t="s">
        <v>623</v>
      </c>
    </row>
    <row r="49" spans="2:15" ht="39">
      <c r="B49" s="391">
        <f t="shared" si="0"/>
        <v>47</v>
      </c>
      <c r="C49" s="71" t="s">
        <v>194</v>
      </c>
      <c r="D49" s="400" t="s">
        <v>631</v>
      </c>
      <c r="E49" s="379" t="s">
        <v>361</v>
      </c>
      <c r="F49" s="33">
        <v>1</v>
      </c>
      <c r="J49" s="355" t="s">
        <v>632</v>
      </c>
      <c r="K49" s="355" t="s">
        <v>104</v>
      </c>
      <c r="L49" s="355" t="s">
        <v>105</v>
      </c>
      <c r="M49" s="355" t="s">
        <v>106</v>
      </c>
      <c r="N49" s="355" t="s">
        <v>107</v>
      </c>
      <c r="O49" s="355" t="s">
        <v>530</v>
      </c>
    </row>
    <row r="50" spans="2:15" ht="39">
      <c r="B50" s="391">
        <f t="shared" si="0"/>
        <v>48</v>
      </c>
      <c r="C50" s="71" t="s">
        <v>193</v>
      </c>
      <c r="D50" s="400" t="s">
        <v>104</v>
      </c>
      <c r="E50" s="379" t="s">
        <v>347</v>
      </c>
      <c r="F50" s="33">
        <v>2</v>
      </c>
      <c r="K50" s="403" t="str">
        <f xml:space="preserve"> _xlfn.CONCAT(K49:O49)</f>
        <v>ˋ˪ˊ˫．</v>
      </c>
      <c r="L50" s="403"/>
      <c r="M50" s="403"/>
      <c r="N50" s="403"/>
      <c r="O50" s="403"/>
    </row>
    <row r="51" spans="2:15" ht="39">
      <c r="B51" s="391">
        <f t="shared" si="0"/>
        <v>49</v>
      </c>
      <c r="C51" s="71" t="s">
        <v>191</v>
      </c>
      <c r="D51" s="400" t="s">
        <v>105</v>
      </c>
      <c r="E51" s="379" t="s">
        <v>191</v>
      </c>
      <c r="F51" s="33">
        <v>3</v>
      </c>
    </row>
    <row r="52" spans="2:15" ht="39">
      <c r="B52" s="391">
        <f t="shared" si="0"/>
        <v>50</v>
      </c>
      <c r="C52" s="71" t="s">
        <v>175</v>
      </c>
      <c r="D52" s="400" t="s">
        <v>106</v>
      </c>
      <c r="E52" s="379" t="s">
        <v>170</v>
      </c>
      <c r="F52" s="33">
        <v>5</v>
      </c>
    </row>
    <row r="53" spans="2:15" ht="39">
      <c r="B53" s="391">
        <f t="shared" si="0"/>
        <v>51</v>
      </c>
      <c r="C53" s="71" t="s">
        <v>170</v>
      </c>
      <c r="D53" s="400" t="s">
        <v>107</v>
      </c>
      <c r="E53" s="379" t="s">
        <v>166</v>
      </c>
      <c r="F53" s="33">
        <v>7</v>
      </c>
    </row>
    <row r="54" spans="2:15" ht="39">
      <c r="B54" s="391">
        <f t="shared" si="0"/>
        <v>52</v>
      </c>
      <c r="C54" s="71" t="s">
        <v>166</v>
      </c>
      <c r="D54" s="400" t="s">
        <v>530</v>
      </c>
      <c r="E54" s="379" t="s">
        <v>219</v>
      </c>
      <c r="F54" s="33" t="s">
        <v>609</v>
      </c>
    </row>
    <row r="55" spans="2:15" ht="39">
      <c r="B55" s="391">
        <f t="shared" si="0"/>
        <v>53</v>
      </c>
      <c r="C55" s="71" t="s">
        <v>624</v>
      </c>
      <c r="D55" s="400" t="s">
        <v>128</v>
      </c>
      <c r="E55" s="379" t="s">
        <v>624</v>
      </c>
      <c r="F55" s="66" t="s">
        <v>625</v>
      </c>
    </row>
    <row r="56" spans="2:15" ht="39">
      <c r="B56" s="391">
        <f t="shared" si="0"/>
        <v>54</v>
      </c>
      <c r="C56" s="71" t="s">
        <v>624</v>
      </c>
      <c r="D56" s="400" t="s">
        <v>130</v>
      </c>
      <c r="E56" s="379" t="s">
        <v>624</v>
      </c>
      <c r="F56" s="66" t="s">
        <v>626</v>
      </c>
    </row>
    <row r="57" spans="2:15" ht="39">
      <c r="B57" s="391">
        <f t="shared" si="0"/>
        <v>55</v>
      </c>
      <c r="C57" s="71" t="s">
        <v>624</v>
      </c>
      <c r="D57" s="400" t="s">
        <v>132</v>
      </c>
      <c r="E57" s="379" t="s">
        <v>624</v>
      </c>
      <c r="F57" s="66" t="s">
        <v>627</v>
      </c>
    </row>
    <row r="58" spans="2:15" ht="39">
      <c r="B58" s="391">
        <f t="shared" si="0"/>
        <v>56</v>
      </c>
      <c r="C58" s="71" t="s">
        <v>624</v>
      </c>
      <c r="D58" s="400" t="s">
        <v>134</v>
      </c>
      <c r="E58" s="379" t="s">
        <v>624</v>
      </c>
      <c r="F58" s="66" t="s">
        <v>628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1FD87-44AE-4789-9C3B-6156A4BF1897}">
  <dimension ref="B2:BQ116"/>
  <sheetViews>
    <sheetView topLeftCell="I1" workbookViewId="0">
      <selection activeCell="R44" sqref="R44"/>
    </sheetView>
  </sheetViews>
  <sheetFormatPr defaultRowHeight="25.5"/>
  <cols>
    <col min="1" max="1" width="2.19921875" customWidth="1"/>
    <col min="2" max="2" width="4.296875" style="345" customWidth="1"/>
    <col min="3" max="3" width="9.69921875" bestFit="1" customWidth="1"/>
    <col min="5" max="5" width="2.19921875" customWidth="1"/>
    <col min="6" max="6" width="4.296875" style="345" customWidth="1"/>
    <col min="7" max="7" width="9.69921875" bestFit="1" customWidth="1"/>
    <col min="9" max="9" width="2.19921875" customWidth="1"/>
    <col min="10" max="10" width="4.296875" style="345" customWidth="1"/>
    <col min="12" max="12" width="8.796875" style="346"/>
    <col min="14" max="14" width="10.19921875" style="365" bestFit="1" customWidth="1"/>
    <col min="15" max="15" width="2.19921875" customWidth="1"/>
    <col min="16" max="16" width="4.296875" style="345" customWidth="1"/>
    <col min="20" max="20" width="8.796875" style="371"/>
    <col min="21" max="21" width="5.796875" customWidth="1"/>
    <col min="22" max="65" width="3.19921875" style="355" customWidth="1"/>
    <col min="66" max="67" width="3.19921875" style="356" customWidth="1"/>
    <col min="68" max="69" width="8.796875" style="356"/>
  </cols>
  <sheetData>
    <row r="2" spans="2:69">
      <c r="C2" s="376" t="s">
        <v>585</v>
      </c>
      <c r="D2" s="376" t="s">
        <v>586</v>
      </c>
      <c r="E2" s="377"/>
      <c r="F2" s="378"/>
      <c r="G2" s="376" t="s">
        <v>586</v>
      </c>
      <c r="H2" s="376" t="s">
        <v>385</v>
      </c>
      <c r="I2" s="377"/>
      <c r="J2" s="378"/>
      <c r="K2" s="376" t="s">
        <v>586</v>
      </c>
      <c r="L2" s="376" t="s">
        <v>385</v>
      </c>
      <c r="M2" s="376" t="s">
        <v>585</v>
      </c>
      <c r="N2" s="376" t="s">
        <v>604</v>
      </c>
      <c r="O2" s="377"/>
      <c r="P2" s="378"/>
      <c r="Q2" s="376" t="s">
        <v>586</v>
      </c>
      <c r="R2" s="376" t="s">
        <v>385</v>
      </c>
      <c r="S2" s="376" t="s">
        <v>585</v>
      </c>
      <c r="T2" s="376" t="s">
        <v>604</v>
      </c>
      <c r="V2" s="361" t="str">
        <f ca="1" xml:space="preserve"> "  alphabet: '" &amp; _xlfn.CONCAT(Q$3:Q$48, Q$49:Q$54) &amp; "'"</f>
        <v xml:space="preserve">  alphabet: '1q!a2wsxedEcyhnYrfvbuUjJm8*iIk,&lt;9(lL0p;:/?-AO. 43657'</v>
      </c>
      <c r="W2" s="359"/>
      <c r="X2" s="359"/>
      <c r="Y2" s="359"/>
      <c r="Z2" s="359"/>
      <c r="AA2" s="359"/>
      <c r="AB2" s="359"/>
      <c r="AC2" s="359"/>
      <c r="AD2" s="359"/>
      <c r="AE2" s="359"/>
      <c r="AF2" s="359"/>
      <c r="AG2" s="359"/>
      <c r="AH2" s="359"/>
      <c r="AI2" s="359"/>
      <c r="AJ2" s="359"/>
      <c r="AK2" s="359"/>
      <c r="AL2" s="359"/>
      <c r="AM2" s="359"/>
      <c r="AN2" s="359"/>
      <c r="AO2" s="359"/>
      <c r="AP2" s="359"/>
    </row>
    <row r="3" spans="2:69">
      <c r="B3" s="348">
        <f xml:space="preserve"> ROW() - 2</f>
        <v>1</v>
      </c>
      <c r="C3" s="375" t="s">
        <v>217</v>
      </c>
      <c r="D3" s="349" t="s">
        <v>361</v>
      </c>
      <c r="F3" s="348">
        <f xml:space="preserve"> ROW() - 2</f>
        <v>1</v>
      </c>
      <c r="G3" s="349" t="s">
        <v>361</v>
      </c>
      <c r="H3" s="369" t="s">
        <v>20</v>
      </c>
      <c r="J3" s="348">
        <f xml:space="preserve"> ROW() - 2</f>
        <v>1</v>
      </c>
      <c r="K3" s="354" t="str" cm="1">
        <f t="array" aca="1" ref="K3" ca="1" xml:space="preserve"> INDIRECT(ADDRESS(2+$F3,COLUMN(G:G)))</f>
        <v>1</v>
      </c>
      <c r="L3" s="363" t="str" cm="1">
        <f t="array" aca="1" ref="L3" ca="1" xml:space="preserve"> IFERROR( INDEX($H$3:$H$54, MATCH(TRUE, EXACT($K3,$G$3:$G$54), 0)), "")</f>
        <v>ㄅ</v>
      </c>
      <c r="M3" s="362" t="str" cm="1">
        <f t="array" aca="1" ref="M3" ca="1" xml:space="preserve"> IFERROR( INDEX($C$3:$C$54, MATCH(TRUE, EXACT($K3,$D$3:$D$54), 0)), "")</f>
        <v>p</v>
      </c>
      <c r="N3" s="366" t="s">
        <v>21</v>
      </c>
      <c r="P3" s="348">
        <f xml:space="preserve"> ROW() - 2</f>
        <v>1</v>
      </c>
      <c r="Q3" s="372" t="str">
        <f t="shared" ref="Q3:Q34" ca="1" si="0">K3</f>
        <v>1</v>
      </c>
      <c r="R3" s="374" t="str">
        <f t="shared" ref="R3:R34" ca="1" si="1">L3</f>
        <v>ㄅ</v>
      </c>
      <c r="S3" s="372" t="str">
        <f t="shared" ref="S3:S34" ca="1" si="2">M3</f>
        <v>p</v>
      </c>
      <c r="T3" s="370" t="str">
        <f t="shared" ref="T3" si="3">N3</f>
        <v>p</v>
      </c>
      <c r="V3" s="361" t="str">
        <f ca="1" xml:space="preserve"> "  initials: '" &amp; _xlfn.CONCAT(Q$3:Q$48) &amp; "'"</f>
        <v xml:space="preserve">  initials: '1q!a2wsxedEcyhnYrfvbuUjJm8*iIk,&lt;9(lL0p;:/?-AO.'</v>
      </c>
      <c r="W3" s="359"/>
      <c r="X3" s="359"/>
      <c r="Y3" s="359"/>
      <c r="Z3" s="359"/>
      <c r="AA3" s="359"/>
      <c r="AB3" s="359"/>
      <c r="AC3" s="359"/>
      <c r="AD3" s="359"/>
      <c r="AE3" s="359"/>
      <c r="AF3" s="359"/>
      <c r="AG3" s="359"/>
      <c r="AH3" s="359"/>
      <c r="AI3" s="359"/>
      <c r="AJ3" s="359"/>
      <c r="AK3" s="359"/>
      <c r="AL3" s="359"/>
      <c r="AM3" s="359"/>
      <c r="AN3" s="359"/>
      <c r="AO3" s="359"/>
      <c r="AP3" s="359"/>
    </row>
    <row r="4" spans="2:69">
      <c r="B4" s="348">
        <f t="shared" ref="B4:B54" si="4" xml:space="preserve"> ROW() - 2</f>
        <v>2</v>
      </c>
      <c r="C4" s="375" t="s">
        <v>400</v>
      </c>
      <c r="D4" s="349" t="s">
        <v>353</v>
      </c>
      <c r="F4" s="348">
        <f t="shared" ref="F4:F54" si="5" xml:space="preserve"> ROW() - 2</f>
        <v>2</v>
      </c>
      <c r="G4" s="349" t="s">
        <v>353</v>
      </c>
      <c r="H4" s="369" t="s">
        <v>23</v>
      </c>
      <c r="J4" s="348">
        <f t="shared" ref="J4:J54" si="6" xml:space="preserve"> ROW() - 2</f>
        <v>2</v>
      </c>
      <c r="K4" s="354" t="str" cm="1">
        <f t="array" aca="1" ref="K4" ca="1" xml:space="preserve"> INDIRECT(ADDRESS(2+$F4,COLUMN(G:G)))</f>
        <v>q</v>
      </c>
      <c r="L4" s="363" t="str" cm="1">
        <f t="array" aca="1" ref="L4" ca="1" xml:space="preserve"> IFERROR( INDEX($H$3:$H$54, MATCH(TRUE, EXACT($K4,$G$3:$G$54), 0)), "")</f>
        <v>ㄆ</v>
      </c>
      <c r="M4" s="362" t="str" cm="1">
        <f t="array" aca="1" ref="M4" ca="1" xml:space="preserve"> IFERROR( INDEX($C$3:$C$54, MATCH(TRUE, EXACT($K4,$D$3:$D$54), 0)), "")</f>
        <v>P</v>
      </c>
      <c r="N4" s="366" t="s">
        <v>24</v>
      </c>
      <c r="P4" s="348">
        <f t="shared" ref="P4:P54" si="7" xml:space="preserve"> ROW() - 2</f>
        <v>2</v>
      </c>
      <c r="Q4" s="372" t="str">
        <f t="shared" ca="1" si="0"/>
        <v>q</v>
      </c>
      <c r="R4" s="374" t="str">
        <f t="shared" ca="1" si="1"/>
        <v>ㄆ</v>
      </c>
      <c r="S4" s="372" t="str">
        <f t="shared" ca="1" si="2"/>
        <v>P</v>
      </c>
      <c r="T4" s="370" t="str">
        <f t="shared" ref="T4:T54" si="8">N4</f>
        <v>ph</v>
      </c>
      <c r="V4" s="361"/>
      <c r="W4" s="359"/>
      <c r="X4" s="359"/>
      <c r="Y4" s="359"/>
      <c r="Z4" s="359"/>
      <c r="AA4" s="359"/>
      <c r="AB4" s="359"/>
      <c r="AC4" s="359"/>
      <c r="AD4" s="359"/>
      <c r="AE4" s="359"/>
      <c r="AF4" s="359"/>
      <c r="AG4" s="359"/>
      <c r="AH4" s="359"/>
      <c r="AI4" s="359"/>
      <c r="AJ4" s="359"/>
      <c r="AK4" s="359"/>
      <c r="AL4" s="359"/>
      <c r="AM4" s="359"/>
      <c r="AN4" s="359"/>
      <c r="AO4" s="359"/>
      <c r="AP4" s="359"/>
    </row>
    <row r="5" spans="2:69">
      <c r="B5" s="348">
        <f t="shared" si="4"/>
        <v>3</v>
      </c>
      <c r="C5" s="375" t="s">
        <v>190</v>
      </c>
      <c r="D5" s="349" t="s">
        <v>394</v>
      </c>
      <c r="F5" s="348">
        <f t="shared" si="5"/>
        <v>3</v>
      </c>
      <c r="G5" s="351" t="s">
        <v>394</v>
      </c>
      <c r="H5" s="369" t="s">
        <v>27</v>
      </c>
      <c r="J5" s="348">
        <f t="shared" si="6"/>
        <v>3</v>
      </c>
      <c r="K5" s="354" t="str" cm="1">
        <f t="array" aca="1" ref="K5" ca="1" xml:space="preserve"> INDIRECT(ADDRESS(2+$F5,COLUMN(G:G)))</f>
        <v>!</v>
      </c>
      <c r="L5" s="363" t="str" cm="1">
        <f t="array" aca="1" ref="L5" ca="1" xml:space="preserve"> IFERROR( INDEX($H$3:$H$54, MATCH(TRUE, EXACT($K5,$G$3:$G$54), 0)), "")</f>
        <v>ㆠ</v>
      </c>
      <c r="M5" s="362" t="str" cm="1">
        <f t="array" aca="1" ref="M5" ca="1" xml:space="preserve"> IFERROR( INDEX($C$3:$C$54, MATCH(TRUE, EXACT($K5,$D$3:$D$54), 0)), "")</f>
        <v>b</v>
      </c>
      <c r="N5" s="366" t="s">
        <v>28</v>
      </c>
      <c r="P5" s="348">
        <f t="shared" si="7"/>
        <v>3</v>
      </c>
      <c r="Q5" s="373" t="str">
        <f t="shared" ca="1" si="0"/>
        <v>!</v>
      </c>
      <c r="R5" s="364" t="str">
        <f t="shared" ca="1" si="1"/>
        <v>ㆠ</v>
      </c>
      <c r="S5" s="373" t="str">
        <f t="shared" ca="1" si="2"/>
        <v>b</v>
      </c>
      <c r="T5" s="370" t="str">
        <f t="shared" si="8"/>
        <v>b</v>
      </c>
    </row>
    <row r="6" spans="2:69">
      <c r="B6" s="348">
        <f t="shared" si="4"/>
        <v>4</v>
      </c>
      <c r="C6" s="375" t="s">
        <v>143</v>
      </c>
      <c r="D6" s="349" t="s">
        <v>351</v>
      </c>
      <c r="F6" s="348">
        <f t="shared" si="5"/>
        <v>4</v>
      </c>
      <c r="G6" s="349" t="s">
        <v>351</v>
      </c>
      <c r="H6" s="369" t="s">
        <v>83</v>
      </c>
      <c r="J6" s="348">
        <f t="shared" si="6"/>
        <v>4</v>
      </c>
      <c r="K6" s="354" t="str" cm="1">
        <f t="array" aca="1" ref="K6" ca="1" xml:space="preserve"> INDIRECT(ADDRESS(2+$F6,COLUMN(G:G)))</f>
        <v>a</v>
      </c>
      <c r="L6" s="363" t="str" cm="1">
        <f t="array" aca="1" ref="L6" ca="1" xml:space="preserve"> IFERROR( INDEX($H$3:$H$54, MATCH(TRUE, EXACT($K6,$G$3:$G$54), 0)), "")</f>
        <v>ㄇ</v>
      </c>
      <c r="M6" s="362" t="str" cm="1">
        <f t="array" aca="1" ref="M6" ca="1" xml:space="preserve"> IFERROR( INDEX($C$3:$C$54, MATCH(TRUE, EXACT($K6,$D$3:$D$54), 0)), "")</f>
        <v>m</v>
      </c>
      <c r="N6" s="366" t="s">
        <v>84</v>
      </c>
      <c r="P6" s="348">
        <f t="shared" si="7"/>
        <v>4</v>
      </c>
      <c r="Q6" s="372" t="str">
        <f t="shared" ca="1" si="0"/>
        <v>a</v>
      </c>
      <c r="R6" s="374" t="str">
        <f t="shared" ca="1" si="1"/>
        <v>ㄇ</v>
      </c>
      <c r="S6" s="372" t="str">
        <f t="shared" ca="1" si="2"/>
        <v>m</v>
      </c>
      <c r="T6" s="370" t="str">
        <f t="shared" si="8"/>
        <v>m</v>
      </c>
    </row>
    <row r="7" spans="2:69">
      <c r="B7" s="348">
        <f t="shared" si="4"/>
        <v>5</v>
      </c>
      <c r="C7" s="375" t="s">
        <v>30</v>
      </c>
      <c r="D7" s="349" t="s">
        <v>347</v>
      </c>
      <c r="F7" s="348">
        <f t="shared" si="5"/>
        <v>5</v>
      </c>
      <c r="G7" s="349" t="s">
        <v>347</v>
      </c>
      <c r="H7" s="369" t="s">
        <v>29</v>
      </c>
      <c r="J7" s="348">
        <f t="shared" si="6"/>
        <v>5</v>
      </c>
      <c r="K7" s="354" t="str" cm="1">
        <f t="array" aca="1" ref="K7" ca="1" xml:space="preserve"> INDIRECT(ADDRESS(2+$F7,COLUMN(G:G)))</f>
        <v>2</v>
      </c>
      <c r="L7" s="363" t="str" cm="1">
        <f t="array" aca="1" ref="L7" ca="1" xml:space="preserve"> IFERROR( INDEX($H$3:$H$54, MATCH(TRUE, EXACT($K7,$G$3:$G$54), 0)), "")</f>
        <v>ㄉ</v>
      </c>
      <c r="M7" s="362" t="str" cm="1">
        <f t="array" aca="1" ref="M7" ca="1" xml:space="preserve"> IFERROR( INDEX($C$3:$C$54, MATCH(TRUE, EXACT($K7,$D$3:$D$54), 0)), "")</f>
        <v>t</v>
      </c>
      <c r="N7" s="366" t="s">
        <v>340</v>
      </c>
      <c r="P7" s="348">
        <f t="shared" si="7"/>
        <v>5</v>
      </c>
      <c r="Q7" s="372" t="str">
        <f t="shared" ca="1" si="0"/>
        <v>2</v>
      </c>
      <c r="R7" s="374" t="str">
        <f t="shared" ca="1" si="1"/>
        <v>ㄉ</v>
      </c>
      <c r="S7" s="372" t="str">
        <f t="shared" ca="1" si="2"/>
        <v>t</v>
      </c>
      <c r="T7" s="370" t="str">
        <f t="shared" si="8"/>
        <v>t</v>
      </c>
      <c r="V7" s="357" t="s">
        <v>587</v>
      </c>
    </row>
    <row r="8" spans="2:69">
      <c r="B8" s="348">
        <f t="shared" si="4"/>
        <v>6</v>
      </c>
      <c r="C8" s="375" t="s">
        <v>408</v>
      </c>
      <c r="D8" s="349" t="s">
        <v>341</v>
      </c>
      <c r="F8" s="348">
        <f t="shared" si="5"/>
        <v>6</v>
      </c>
      <c r="G8" s="349" t="s">
        <v>341</v>
      </c>
      <c r="H8" s="369" t="s">
        <v>31</v>
      </c>
      <c r="J8" s="348">
        <f t="shared" si="6"/>
        <v>6</v>
      </c>
      <c r="K8" s="354" t="str" cm="1">
        <f t="array" aca="1" ref="K8" ca="1" xml:space="preserve"> INDIRECT(ADDRESS(2+$F8,COLUMN(G:G)))</f>
        <v>w</v>
      </c>
      <c r="L8" s="363" t="str" cm="1">
        <f t="array" aca="1" ref="L8" ca="1" xml:space="preserve"> IFERROR( INDEX($H$3:$H$54, MATCH(TRUE, EXACT($K8,$G$3:$G$54), 0)), "")</f>
        <v>ㄊ</v>
      </c>
      <c r="M8" s="362" t="str" cm="1">
        <f t="array" aca="1" ref="M8" ca="1" xml:space="preserve"> IFERROR( INDEX($C$3:$C$54, MATCH(TRUE, EXACT($K8,$D$3:$D$54), 0)), "")</f>
        <v>T</v>
      </c>
      <c r="N8" s="366" t="s">
        <v>605</v>
      </c>
      <c r="P8" s="348">
        <f t="shared" si="7"/>
        <v>6</v>
      </c>
      <c r="Q8" s="372" t="str">
        <f t="shared" ca="1" si="0"/>
        <v>w</v>
      </c>
      <c r="R8" s="374" t="str">
        <f t="shared" ca="1" si="1"/>
        <v>ㄊ</v>
      </c>
      <c r="S8" s="372" t="str">
        <f t="shared" ca="1" si="2"/>
        <v>T</v>
      </c>
      <c r="T8" s="370" t="str">
        <f t="shared" si="8"/>
        <v>th</v>
      </c>
      <c r="V8" s="358" t="str">
        <f ca="1" xml:space="preserve"> "- ""xlit|" &amp; _xlfn.CONCAT(S3:S54) &amp; "|" &amp; _xlfn.CONCAT(Q3:Q54) &amp; "|"""</f>
        <v>- "xlit|pPbmtTndkKghzcsjZCSJiIuUBaAOQoeEIYUX@DHFWwRVLN123570|1q!a2wsxedEcyhnYrfvbuUjJm8*iIk,&lt;9(lL0p;:/?-AO. 43657|"</v>
      </c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59"/>
      <c r="AH8" s="359"/>
      <c r="AI8" s="359"/>
      <c r="AJ8" s="359"/>
      <c r="AK8" s="359"/>
      <c r="AL8" s="359"/>
      <c r="AM8" s="359"/>
      <c r="AN8" s="359"/>
      <c r="AO8" s="359"/>
      <c r="AP8" s="359"/>
      <c r="AQ8" s="359"/>
      <c r="AR8" s="359"/>
      <c r="AS8" s="359"/>
      <c r="AT8" s="359"/>
      <c r="AU8" s="359"/>
      <c r="AV8" s="359"/>
      <c r="AW8" s="359"/>
      <c r="AX8" s="359"/>
      <c r="AY8" s="359"/>
      <c r="AZ8" s="359"/>
      <c r="BA8" s="359"/>
      <c r="BB8" s="359"/>
      <c r="BC8" s="359"/>
      <c r="BD8" s="359"/>
      <c r="BE8" s="359"/>
      <c r="BF8" s="359"/>
      <c r="BG8" s="359"/>
      <c r="BH8" s="359"/>
      <c r="BI8" s="359"/>
      <c r="BJ8" s="359"/>
      <c r="BK8" s="359"/>
      <c r="BL8" s="359"/>
      <c r="BM8" s="359"/>
      <c r="BN8" s="360"/>
      <c r="BO8" s="360"/>
      <c r="BP8" s="360"/>
      <c r="BQ8" s="360"/>
    </row>
    <row r="9" spans="2:69">
      <c r="B9" s="348">
        <f t="shared" si="4"/>
        <v>7</v>
      </c>
      <c r="C9" s="375" t="s">
        <v>34</v>
      </c>
      <c r="D9" s="349" t="s">
        <v>338</v>
      </c>
      <c r="F9" s="348">
        <f t="shared" si="5"/>
        <v>7</v>
      </c>
      <c r="G9" s="349" t="s">
        <v>338</v>
      </c>
      <c r="H9" s="369" t="s">
        <v>33</v>
      </c>
      <c r="J9" s="348">
        <f t="shared" si="6"/>
        <v>7</v>
      </c>
      <c r="K9" s="354" t="str" cm="1">
        <f t="array" aca="1" ref="K9" ca="1" xml:space="preserve"> INDIRECT(ADDRESS(2+$F9,COLUMN(G:G)))</f>
        <v>s</v>
      </c>
      <c r="L9" s="363" t="str" cm="1">
        <f t="array" aca="1" ref="L9" ca="1" xml:space="preserve"> IFERROR( INDEX($H$3:$H$54, MATCH(TRUE, EXACT($K9,$G$3:$G$54), 0)), "")</f>
        <v>ㄋ</v>
      </c>
      <c r="M9" s="362" t="str" cm="1">
        <f t="array" aca="1" ref="M9" ca="1" xml:space="preserve"> IFERROR( INDEX($C$3:$C$54, MATCH(TRUE, EXACT($K9,$D$3:$D$54), 0)), "")</f>
        <v>n</v>
      </c>
      <c r="N9" s="366" t="s">
        <v>611</v>
      </c>
      <c r="P9" s="348">
        <f t="shared" si="7"/>
        <v>7</v>
      </c>
      <c r="Q9" s="372" t="str">
        <f t="shared" ca="1" si="0"/>
        <v>s</v>
      </c>
      <c r="R9" s="374" t="str">
        <f t="shared" ca="1" si="1"/>
        <v>ㄋ</v>
      </c>
      <c r="S9" s="372" t="str">
        <f t="shared" ca="1" si="2"/>
        <v>n</v>
      </c>
      <c r="T9" s="370" t="str">
        <f t="shared" si="8"/>
        <v>n-</v>
      </c>
    </row>
    <row r="10" spans="2:69">
      <c r="B10" s="348">
        <f t="shared" si="4"/>
        <v>8</v>
      </c>
      <c r="C10" s="375" t="s">
        <v>309</v>
      </c>
      <c r="D10" s="349" t="s">
        <v>332</v>
      </c>
      <c r="F10" s="348">
        <f t="shared" si="5"/>
        <v>8</v>
      </c>
      <c r="G10" s="349" t="s">
        <v>332</v>
      </c>
      <c r="H10" s="369" t="s">
        <v>85</v>
      </c>
      <c r="J10" s="348">
        <f t="shared" si="6"/>
        <v>8</v>
      </c>
      <c r="K10" s="354" t="str" cm="1">
        <f t="array" aca="1" ref="K10" ca="1" xml:space="preserve"> INDIRECT(ADDRESS(2+$F10,COLUMN(G:G)))</f>
        <v>x</v>
      </c>
      <c r="L10" s="363" t="str" cm="1">
        <f t="array" aca="1" ref="L10" ca="1" xml:space="preserve"> IFERROR( INDEX($H$3:$H$54, MATCH(TRUE, EXACT($K10,$G$3:$G$54), 0)), "")</f>
        <v>ㄌ</v>
      </c>
      <c r="M10" s="362" t="str" cm="1">
        <f t="array" aca="1" ref="M10" ca="1" xml:space="preserve"> IFERROR( INDEX($C$3:$C$54, MATCH(TRUE, EXACT($K10,$D$3:$D$54), 0)), "")</f>
        <v>d</v>
      </c>
      <c r="N10" s="366" t="s">
        <v>496</v>
      </c>
      <c r="P10" s="348">
        <f t="shared" si="7"/>
        <v>8</v>
      </c>
      <c r="Q10" s="372" t="str">
        <f t="shared" ca="1" si="0"/>
        <v>x</v>
      </c>
      <c r="R10" s="374" t="str">
        <f t="shared" ca="1" si="1"/>
        <v>ㄌ</v>
      </c>
      <c r="S10" s="372" t="str">
        <f t="shared" ca="1" si="2"/>
        <v>d</v>
      </c>
      <c r="T10" s="370" t="str">
        <f t="shared" si="8"/>
        <v>l</v>
      </c>
    </row>
    <row r="11" spans="2:69">
      <c r="B11" s="348">
        <f t="shared" si="4"/>
        <v>9</v>
      </c>
      <c r="C11" s="375" t="s">
        <v>37</v>
      </c>
      <c r="D11" s="349" t="s">
        <v>329</v>
      </c>
      <c r="F11" s="348">
        <f t="shared" si="5"/>
        <v>9</v>
      </c>
      <c r="G11" s="349" t="s">
        <v>329</v>
      </c>
      <c r="H11" s="369" t="s">
        <v>36</v>
      </c>
      <c r="J11" s="348">
        <f t="shared" si="6"/>
        <v>9</v>
      </c>
      <c r="K11" s="354" t="str" cm="1">
        <f t="array" aca="1" ref="K11" ca="1" xml:space="preserve"> INDIRECT(ADDRESS(2+$F11,COLUMN(G:G)))</f>
        <v>e</v>
      </c>
      <c r="L11" s="363" t="str" cm="1">
        <f t="array" aca="1" ref="L11" ca="1" xml:space="preserve"> IFERROR( INDEX($H$3:$H$54, MATCH(TRUE, EXACT($K11,$G$3:$G$54), 0)), "")</f>
        <v>ㄍ</v>
      </c>
      <c r="M11" s="362" t="str" cm="1">
        <f t="array" aca="1" ref="M11" ca="1" xml:space="preserve"> IFERROR( INDEX($C$3:$C$54, MATCH(TRUE, EXACT($K11,$D$3:$D$54), 0)), "")</f>
        <v>k</v>
      </c>
      <c r="N11" s="366" t="s">
        <v>321</v>
      </c>
      <c r="P11" s="348">
        <f t="shared" si="7"/>
        <v>9</v>
      </c>
      <c r="Q11" s="372" t="str">
        <f t="shared" ca="1" si="0"/>
        <v>e</v>
      </c>
      <c r="R11" s="374" t="str">
        <f t="shared" ca="1" si="1"/>
        <v>ㄍ</v>
      </c>
      <c r="S11" s="372" t="str">
        <f t="shared" ca="1" si="2"/>
        <v>k</v>
      </c>
      <c r="T11" s="370" t="str">
        <f t="shared" si="8"/>
        <v>k</v>
      </c>
      <c r="V11" s="357" t="s">
        <v>588</v>
      </c>
    </row>
    <row r="12" spans="2:69">
      <c r="B12" s="348">
        <f t="shared" si="4"/>
        <v>10</v>
      </c>
      <c r="C12" s="375" t="s">
        <v>425</v>
      </c>
      <c r="D12" s="349" t="s">
        <v>309</v>
      </c>
      <c r="F12" s="348">
        <f t="shared" si="5"/>
        <v>10</v>
      </c>
      <c r="G12" s="349" t="s">
        <v>309</v>
      </c>
      <c r="H12" s="369" t="s">
        <v>38</v>
      </c>
      <c r="J12" s="348">
        <f t="shared" si="6"/>
        <v>10</v>
      </c>
      <c r="K12" s="354" t="str" cm="1">
        <f t="array" aca="1" ref="K12" ca="1" xml:space="preserve"> INDIRECT(ADDRESS(2+$F12,COLUMN(G:G)))</f>
        <v>d</v>
      </c>
      <c r="L12" s="363" t="str" cm="1">
        <f t="array" aca="1" ref="L12" ca="1" xml:space="preserve"> IFERROR( INDEX($H$3:$H$54, MATCH(TRUE, EXACT($K12,$G$3:$G$54), 0)), "")</f>
        <v>ㄎ</v>
      </c>
      <c r="M12" s="362" t="str" cm="1">
        <f t="array" aca="1" ref="M12" ca="1" xml:space="preserve"> IFERROR( INDEX($C$3:$C$54, MATCH(TRUE, EXACT($K12,$D$3:$D$54), 0)), "")</f>
        <v>K</v>
      </c>
      <c r="N12" s="366" t="s">
        <v>39</v>
      </c>
      <c r="P12" s="348">
        <f t="shared" si="7"/>
        <v>10</v>
      </c>
      <c r="Q12" s="372" t="str">
        <f t="shared" ca="1" si="0"/>
        <v>d</v>
      </c>
      <c r="R12" s="374" t="str">
        <f t="shared" ca="1" si="1"/>
        <v>ㄎ</v>
      </c>
      <c r="S12" s="372" t="str">
        <f t="shared" ca="1" si="2"/>
        <v>K</v>
      </c>
      <c r="T12" s="370" t="str">
        <f t="shared" si="8"/>
        <v>kh</v>
      </c>
      <c r="V12" s="358" t="str">
        <f ca="1" xml:space="preserve"> "- ""xlit|" &amp; _xlfn.CONCAT(Q3:Q54) &amp; "|" &amp; _xlfn.CONCAT(R3:R54) &amp; "|"""</f>
        <v>- "xlit|1q!a2wsxedEcyhnYrfvbuUjJm8*iIk,&lt;9(lL0p;:/?-AO. 43657|ㄅㄆㆠㄇㄉㄊㄋㄌㄍㄎㆣㄏㄗㄘㄙㆡㄐㄑㄒㆢㄧㆪㄨㆫㆬㄚㆩㆦㆧㄜㆤㆥㄞㆮㄠㆯㄢㄣㄤㆲㆭㄫㆨㆰㆱｎˉˋ˪ˊ˫．|"</v>
      </c>
      <c r="W12" s="359"/>
      <c r="X12" s="359"/>
      <c r="Y12" s="359"/>
      <c r="Z12" s="359"/>
      <c r="AA12" s="359"/>
      <c r="AB12" s="359"/>
      <c r="AC12" s="359"/>
      <c r="AD12" s="359"/>
      <c r="AE12" s="359"/>
      <c r="AF12" s="359"/>
      <c r="AG12" s="359"/>
      <c r="AH12" s="359"/>
      <c r="AI12" s="359"/>
      <c r="AJ12" s="359"/>
      <c r="AK12" s="359"/>
      <c r="AL12" s="359"/>
      <c r="AM12" s="359"/>
      <c r="AN12" s="359"/>
      <c r="AO12" s="359"/>
      <c r="AP12" s="359"/>
      <c r="AQ12" s="359"/>
      <c r="AR12" s="359"/>
      <c r="AS12" s="359"/>
      <c r="AT12" s="359"/>
      <c r="AU12" s="359"/>
      <c r="AV12" s="359"/>
      <c r="AW12" s="359"/>
      <c r="AX12" s="359"/>
      <c r="AY12" s="359"/>
      <c r="AZ12" s="359"/>
      <c r="BA12" s="359"/>
      <c r="BB12" s="359"/>
      <c r="BC12" s="359"/>
      <c r="BD12" s="359"/>
      <c r="BE12" s="359"/>
      <c r="BF12" s="359"/>
      <c r="BG12" s="359"/>
      <c r="BH12" s="359"/>
      <c r="BI12" s="359"/>
      <c r="BJ12" s="359"/>
      <c r="BK12" s="359"/>
      <c r="BL12" s="359"/>
      <c r="BM12" s="359"/>
      <c r="BN12" s="360"/>
      <c r="BO12" s="360"/>
      <c r="BP12" s="360"/>
      <c r="BQ12" s="360"/>
    </row>
    <row r="13" spans="2:69">
      <c r="B13" s="348">
        <f t="shared" si="4"/>
        <v>11</v>
      </c>
      <c r="C13" s="375" t="s">
        <v>184</v>
      </c>
      <c r="D13" s="349" t="s">
        <v>322</v>
      </c>
      <c r="F13" s="348">
        <f t="shared" si="5"/>
        <v>11</v>
      </c>
      <c r="G13" s="349" t="s">
        <v>322</v>
      </c>
      <c r="H13" s="369" t="s">
        <v>41</v>
      </c>
      <c r="J13" s="348">
        <f t="shared" si="6"/>
        <v>11</v>
      </c>
      <c r="K13" s="354" t="str" cm="1">
        <f t="array" aca="1" ref="K13" ca="1" xml:space="preserve"> INDIRECT(ADDRESS(2+$F13,COLUMN(G:G)))</f>
        <v>E</v>
      </c>
      <c r="L13" s="363" t="str" cm="1">
        <f t="array" aca="1" ref="L13" ca="1" xml:space="preserve"> IFERROR( INDEX($H$3:$H$54, MATCH(TRUE, EXACT($K13,$G$3:$G$54), 0)), "")</f>
        <v>ㆣ</v>
      </c>
      <c r="M13" s="362" t="str" cm="1">
        <f t="array" aca="1" ref="M13" ca="1" xml:space="preserve"> IFERROR( INDEX($C$3:$C$54, MATCH(TRUE, EXACT($K13,$D$3:$D$54), 0)), "")</f>
        <v>g</v>
      </c>
      <c r="N13" s="366" t="s">
        <v>42</v>
      </c>
      <c r="P13" s="348">
        <f t="shared" si="7"/>
        <v>11</v>
      </c>
      <c r="Q13" s="373" t="str">
        <f t="shared" ca="1" si="0"/>
        <v>E</v>
      </c>
      <c r="R13" s="364" t="str">
        <f t="shared" ca="1" si="1"/>
        <v>ㆣ</v>
      </c>
      <c r="S13" s="373" t="str">
        <f t="shared" ca="1" si="2"/>
        <v>g</v>
      </c>
      <c r="T13" s="370" t="str">
        <f t="shared" si="8"/>
        <v>g</v>
      </c>
    </row>
    <row r="14" spans="2:69">
      <c r="B14" s="348">
        <f t="shared" si="4"/>
        <v>12</v>
      </c>
      <c r="C14" s="375" t="s">
        <v>422</v>
      </c>
      <c r="D14" s="349" t="s">
        <v>305</v>
      </c>
      <c r="F14" s="348">
        <f t="shared" si="5"/>
        <v>12</v>
      </c>
      <c r="G14" s="349" t="s">
        <v>305</v>
      </c>
      <c r="H14" s="369" t="s">
        <v>52</v>
      </c>
      <c r="J14" s="348">
        <f t="shared" si="6"/>
        <v>12</v>
      </c>
      <c r="K14" s="354" t="str" cm="1">
        <f t="array" aca="1" ref="K14" ca="1" xml:space="preserve"> INDIRECT(ADDRESS(2+$F14,COLUMN(G:G)))</f>
        <v>c</v>
      </c>
      <c r="L14" s="363" t="str" cm="1">
        <f t="array" aca="1" ref="L14" ca="1" xml:space="preserve"> IFERROR( INDEX($H$3:$H$54, MATCH(TRUE, EXACT($K14,$G$3:$G$54), 0)), "")</f>
        <v>ㄏ</v>
      </c>
      <c r="M14" s="362" t="str" cm="1">
        <f t="array" aca="1" ref="M14" ca="1" xml:space="preserve"> IFERROR( INDEX($C$3:$C$54, MATCH(TRUE, EXACT($K14,$D$3:$D$54), 0)), "")</f>
        <v>h</v>
      </c>
      <c r="N14" s="366" t="s">
        <v>53</v>
      </c>
      <c r="P14" s="348">
        <f t="shared" si="7"/>
        <v>12</v>
      </c>
      <c r="Q14" s="372" t="str">
        <f t="shared" ca="1" si="0"/>
        <v>c</v>
      </c>
      <c r="R14" s="374" t="str">
        <f t="shared" ca="1" si="1"/>
        <v>ㄏ</v>
      </c>
      <c r="S14" s="372" t="str">
        <f t="shared" ca="1" si="2"/>
        <v>h</v>
      </c>
      <c r="T14" s="370" t="str">
        <f t="shared" si="8"/>
        <v>h</v>
      </c>
    </row>
    <row r="15" spans="2:69">
      <c r="B15" s="348">
        <f t="shared" si="4"/>
        <v>13</v>
      </c>
      <c r="C15" s="375" t="s">
        <v>179</v>
      </c>
      <c r="D15" s="349" t="s">
        <v>590</v>
      </c>
      <c r="F15" s="348">
        <f t="shared" si="5"/>
        <v>13</v>
      </c>
      <c r="G15" s="349" t="s">
        <v>590</v>
      </c>
      <c r="H15" s="368" t="s">
        <v>43</v>
      </c>
      <c r="J15" s="348">
        <f t="shared" si="6"/>
        <v>13</v>
      </c>
      <c r="K15" s="354" t="str" cm="1">
        <f t="array" aca="1" ref="K15" ca="1" xml:space="preserve"> INDIRECT(ADDRESS(2+$F15,COLUMN(G:G)))</f>
        <v>y</v>
      </c>
      <c r="L15" s="363" t="str" cm="1">
        <f t="array" aca="1" ref="L15" ca="1" xml:space="preserve"> IFERROR( INDEX($H$3:$H$54, MATCH(TRUE, EXACT($K15,$G$3:$G$54), 0)), "")</f>
        <v>ㄗ</v>
      </c>
      <c r="M15" s="362" t="str" cm="1">
        <f t="array" aca="1" ref="M15" ca="1" xml:space="preserve"> IFERROR( INDEX($C$3:$C$54, MATCH(TRUE, EXACT($K15,$D$3:$D$54), 0)), "")</f>
        <v>z</v>
      </c>
      <c r="N15" s="366" t="s">
        <v>366</v>
      </c>
      <c r="P15" s="348">
        <f t="shared" si="7"/>
        <v>13</v>
      </c>
      <c r="Q15" s="372" t="str">
        <f t="shared" ca="1" si="0"/>
        <v>y</v>
      </c>
      <c r="R15" s="374" t="str">
        <f t="shared" ca="1" si="1"/>
        <v>ㄗ</v>
      </c>
      <c r="S15" s="372" t="str">
        <f t="shared" ca="1" si="2"/>
        <v>z</v>
      </c>
      <c r="T15" s="370" t="str">
        <f t="shared" si="8"/>
        <v>z</v>
      </c>
      <c r="V15" s="357" t="s">
        <v>589</v>
      </c>
    </row>
    <row r="16" spans="2:69">
      <c r="B16" s="348">
        <f t="shared" si="4"/>
        <v>14</v>
      </c>
      <c r="C16" s="375" t="s">
        <v>305</v>
      </c>
      <c r="D16" s="349" t="s">
        <v>422</v>
      </c>
      <c r="F16" s="348">
        <f t="shared" si="5"/>
        <v>14</v>
      </c>
      <c r="G16" s="349" t="s">
        <v>422</v>
      </c>
      <c r="H16" s="369" t="s">
        <v>46</v>
      </c>
      <c r="J16" s="348">
        <f t="shared" si="6"/>
        <v>14</v>
      </c>
      <c r="K16" s="354" t="str" cm="1">
        <f t="array" aca="1" ref="K16" ca="1" xml:space="preserve"> INDIRECT(ADDRESS(2+$F16,COLUMN(G:G)))</f>
        <v>h</v>
      </c>
      <c r="L16" s="363" t="str" cm="1">
        <f t="array" aca="1" ref="L16" ca="1" xml:space="preserve"> IFERROR( INDEX($H$3:$H$54, MATCH(TRUE, EXACT($K16,$G$3:$G$54), 0)), "")</f>
        <v>ㄘ</v>
      </c>
      <c r="M16" s="362" t="str" cm="1">
        <f t="array" aca="1" ref="M16" ca="1" xml:space="preserve"> IFERROR( INDEX($C$3:$C$54, MATCH(TRUE, EXACT($K16,$D$3:$D$54), 0)), "")</f>
        <v>c</v>
      </c>
      <c r="N16" s="366" t="s">
        <v>287</v>
      </c>
      <c r="P16" s="348">
        <f t="shared" si="7"/>
        <v>14</v>
      </c>
      <c r="Q16" s="372" t="str">
        <f t="shared" ca="1" si="0"/>
        <v>h</v>
      </c>
      <c r="R16" s="374" t="str">
        <f t="shared" ca="1" si="1"/>
        <v>ㄘ</v>
      </c>
      <c r="S16" s="372" t="str">
        <f t="shared" ca="1" si="2"/>
        <v>c</v>
      </c>
      <c r="T16" s="370" t="str">
        <f t="shared" si="8"/>
        <v>c</v>
      </c>
      <c r="V16" s="358" t="str">
        <f ca="1" xml:space="preserve"> "- ""xlit|" &amp; _xlfn.CONCAT(S3:S54) &amp; "|" &amp; _xlfn.CONCAT(R3:R54) &amp; "|"""</f>
        <v>- "xlit|pPbmtTndkKghzcsjZCSJiIuUBaAOQoeEIYUX@DHFWwRVLN123570|ㄅㄆㆠㄇㄉㄊㄋㄌㄍㄎㆣㄏㄗㄘㄙㆡㄐㄑㄒㆢㄧㆪㄨㆫㆬㄚㆩㆦㆧㄜㆤㆥㄞㆮㄠㆯㄢㄣㄤㆲㆭㄫㆨㆰㆱｎˉˋ˪ˊ˫．|"</v>
      </c>
      <c r="W16" s="359"/>
      <c r="X16" s="359"/>
      <c r="Y16" s="359"/>
      <c r="Z16" s="359"/>
      <c r="AA16" s="359"/>
      <c r="AB16" s="359"/>
      <c r="AC16" s="359"/>
      <c r="AD16" s="359"/>
      <c r="AE16" s="359"/>
      <c r="AF16" s="359"/>
      <c r="AG16" s="359"/>
      <c r="AH16" s="359"/>
      <c r="AI16" s="359"/>
      <c r="AJ16" s="359"/>
      <c r="AK16" s="359"/>
      <c r="AL16" s="359"/>
      <c r="AM16" s="359"/>
      <c r="AN16" s="359"/>
      <c r="AO16" s="359"/>
      <c r="AP16" s="359"/>
      <c r="AQ16" s="359"/>
      <c r="AR16" s="359"/>
      <c r="AS16" s="359"/>
      <c r="AT16" s="359"/>
      <c r="AU16" s="359"/>
      <c r="AV16" s="359"/>
      <c r="AW16" s="359"/>
      <c r="AX16" s="359"/>
      <c r="AY16" s="359"/>
      <c r="AZ16" s="359"/>
      <c r="BA16" s="359"/>
      <c r="BB16" s="359"/>
      <c r="BC16" s="359"/>
      <c r="BD16" s="359"/>
      <c r="BE16" s="359"/>
      <c r="BF16" s="359"/>
      <c r="BG16" s="359"/>
      <c r="BH16" s="359"/>
      <c r="BI16" s="359"/>
      <c r="BJ16" s="359"/>
      <c r="BK16" s="359"/>
      <c r="BL16" s="359"/>
      <c r="BM16" s="359"/>
      <c r="BN16" s="360"/>
      <c r="BO16" s="360"/>
      <c r="BP16" s="360"/>
      <c r="BQ16" s="360"/>
    </row>
    <row r="17" spans="2:21">
      <c r="B17" s="348">
        <f t="shared" si="4"/>
        <v>15</v>
      </c>
      <c r="C17" s="375" t="s">
        <v>338</v>
      </c>
      <c r="D17" s="349" t="s">
        <v>34</v>
      </c>
      <c r="F17" s="348">
        <f t="shared" si="5"/>
        <v>15</v>
      </c>
      <c r="G17" s="349" t="s">
        <v>34</v>
      </c>
      <c r="H17" s="369" t="s">
        <v>50</v>
      </c>
      <c r="J17" s="348">
        <f t="shared" si="6"/>
        <v>15</v>
      </c>
      <c r="K17" s="354" t="str" cm="1">
        <f t="array" aca="1" ref="K17" ca="1" xml:space="preserve"> INDIRECT(ADDRESS(2+$F17,COLUMN(G:G)))</f>
        <v>n</v>
      </c>
      <c r="L17" s="363" t="str" cm="1">
        <f t="array" aca="1" ref="L17" ca="1" xml:space="preserve"> IFERROR( INDEX($H$3:$H$54, MATCH(TRUE, EXACT($K17,$G$3:$G$54), 0)), "")</f>
        <v>ㄙ</v>
      </c>
      <c r="M17" s="362" t="str" cm="1">
        <f t="array" aca="1" ref="M17" ca="1" xml:space="preserve"> IFERROR( INDEX($C$3:$C$54, MATCH(TRUE, EXACT($K17,$D$3:$D$54), 0)), "")</f>
        <v>s</v>
      </c>
      <c r="N17" s="366" t="s">
        <v>51</v>
      </c>
      <c r="P17" s="348">
        <f t="shared" si="7"/>
        <v>15</v>
      </c>
      <c r="Q17" s="372" t="str">
        <f t="shared" ca="1" si="0"/>
        <v>n</v>
      </c>
      <c r="R17" s="374" t="str">
        <f t="shared" ca="1" si="1"/>
        <v>ㄙ</v>
      </c>
      <c r="S17" s="372" t="str">
        <f t="shared" ca="1" si="2"/>
        <v>s</v>
      </c>
      <c r="T17" s="370" t="str">
        <f t="shared" si="8"/>
        <v>s</v>
      </c>
    </row>
    <row r="18" spans="2:21">
      <c r="B18" s="348">
        <f t="shared" si="4"/>
        <v>16</v>
      </c>
      <c r="C18" s="375" t="s">
        <v>254</v>
      </c>
      <c r="D18" s="349" t="s">
        <v>374</v>
      </c>
      <c r="F18" s="348">
        <f t="shared" si="5"/>
        <v>16</v>
      </c>
      <c r="G18" s="349" t="s">
        <v>374</v>
      </c>
      <c r="H18" s="368" t="s">
        <v>48</v>
      </c>
      <c r="J18" s="348">
        <f t="shared" si="6"/>
        <v>16</v>
      </c>
      <c r="K18" s="354" t="str" cm="1">
        <f t="array" aca="1" ref="K18" ca="1" xml:space="preserve"> INDIRECT(ADDRESS(2+$F18,COLUMN(G:G)))</f>
        <v>Y</v>
      </c>
      <c r="L18" s="363" t="str" cm="1">
        <f t="array" aca="1" ref="L18" ca="1" xml:space="preserve"> IFERROR( INDEX($H$3:$H$54, MATCH(TRUE, EXACT($K18,$G$3:$G$54), 0)), "")</f>
        <v>ㆡ</v>
      </c>
      <c r="M18" s="362" t="str" cm="1">
        <f t="array" aca="1" ref="M18" ca="1" xml:space="preserve"> IFERROR( INDEX($C$3:$C$54, MATCH(TRUE, EXACT($K18,$D$3:$D$54), 0)), "")</f>
        <v>j</v>
      </c>
      <c r="N18" s="366" t="s">
        <v>49</v>
      </c>
      <c r="P18" s="348">
        <f t="shared" si="7"/>
        <v>16</v>
      </c>
      <c r="Q18" s="372" t="str">
        <f t="shared" ca="1" si="0"/>
        <v>Y</v>
      </c>
      <c r="R18" s="374" t="str">
        <f t="shared" ca="1" si="1"/>
        <v>ㆡ</v>
      </c>
      <c r="S18" s="372" t="str">
        <f t="shared" ca="1" si="2"/>
        <v>j</v>
      </c>
      <c r="T18" s="370" t="str">
        <f t="shared" si="8"/>
        <v>j</v>
      </c>
    </row>
    <row r="19" spans="2:21">
      <c r="B19" s="348">
        <f t="shared" si="4"/>
        <v>17</v>
      </c>
      <c r="C19" s="375" t="s">
        <v>367</v>
      </c>
      <c r="D19" s="349" t="s">
        <v>435</v>
      </c>
      <c r="F19" s="348">
        <f t="shared" si="5"/>
        <v>17</v>
      </c>
      <c r="G19" s="349" t="s">
        <v>283</v>
      </c>
      <c r="H19" s="369" t="s">
        <v>89</v>
      </c>
      <c r="J19" s="348">
        <f t="shared" si="6"/>
        <v>17</v>
      </c>
      <c r="K19" s="354" t="str" cm="1">
        <f t="array" aca="1" ref="K19" ca="1" xml:space="preserve"> INDIRECT(ADDRESS(2+$F19,COLUMN(G:G)))</f>
        <v>r</v>
      </c>
      <c r="L19" s="363" t="str" cm="1">
        <f t="array" aca="1" ref="L19" ca="1" xml:space="preserve"> IFERROR( INDEX($H$3:$H$54, MATCH(TRUE, EXACT($K19,$G$3:$G$54), 0)), "")</f>
        <v>ㄐ</v>
      </c>
      <c r="M19" s="362" t="str" cm="1">
        <f t="array" aca="1" ref="M19" ca="1" xml:space="preserve"> IFERROR( INDEX($C$3:$C$54, MATCH(TRUE, EXACT($K19,$D$3:$D$54), 0)), "")</f>
        <v>Z</v>
      </c>
      <c r="N19" s="366" t="s">
        <v>450</v>
      </c>
      <c r="P19" s="348">
        <f t="shared" si="7"/>
        <v>17</v>
      </c>
      <c r="Q19" s="372" t="str">
        <f t="shared" ca="1" si="0"/>
        <v>r</v>
      </c>
      <c r="R19" s="374" t="str">
        <f t="shared" ca="1" si="1"/>
        <v>ㄐ</v>
      </c>
      <c r="S19" s="372" t="str">
        <f t="shared" ca="1" si="2"/>
        <v>Z</v>
      </c>
      <c r="T19" s="370" t="str">
        <f t="shared" si="8"/>
        <v>zi-</v>
      </c>
    </row>
    <row r="20" spans="2:21">
      <c r="B20" s="348">
        <f t="shared" si="4"/>
        <v>18</v>
      </c>
      <c r="C20" s="375" t="s">
        <v>286</v>
      </c>
      <c r="D20" s="349" t="s">
        <v>438</v>
      </c>
      <c r="F20" s="348">
        <f t="shared" si="5"/>
        <v>18</v>
      </c>
      <c r="G20" s="349" t="s">
        <v>602</v>
      </c>
      <c r="H20" s="369" t="s">
        <v>91</v>
      </c>
      <c r="J20" s="348">
        <f t="shared" si="6"/>
        <v>18</v>
      </c>
      <c r="K20" s="354" t="str" cm="1">
        <f t="array" aca="1" ref="K20" ca="1" xml:space="preserve"> INDIRECT(ADDRESS(2+$F20,COLUMN(G:G)))</f>
        <v>f</v>
      </c>
      <c r="L20" s="363" t="str" cm="1">
        <f t="array" aca="1" ref="L20" ca="1" xml:space="preserve"> IFERROR( INDEX($H$3:$H$54, MATCH(TRUE, EXACT($K20,$G$3:$G$54), 0)), "")</f>
        <v>ㄑ</v>
      </c>
      <c r="M20" s="362" t="str" cm="1">
        <f t="array" aca="1" ref="M20" ca="1" xml:space="preserve"> IFERROR( INDEX($C$3:$C$54, MATCH(TRUE, EXACT($K20,$D$3:$D$54), 0)), "")</f>
        <v>C</v>
      </c>
      <c r="N20" s="366" t="s">
        <v>457</v>
      </c>
      <c r="P20" s="348">
        <f t="shared" si="7"/>
        <v>18</v>
      </c>
      <c r="Q20" s="372" t="str">
        <f t="shared" ca="1" si="0"/>
        <v>f</v>
      </c>
      <c r="R20" s="374" t="str">
        <f t="shared" ca="1" si="1"/>
        <v>ㄑ</v>
      </c>
      <c r="S20" s="372" t="str">
        <f t="shared" ca="1" si="2"/>
        <v>C</v>
      </c>
      <c r="T20" s="370" t="str">
        <f t="shared" si="8"/>
        <v>ci-</v>
      </c>
    </row>
    <row r="21" spans="2:21">
      <c r="B21" s="348">
        <f t="shared" si="4"/>
        <v>19</v>
      </c>
      <c r="C21" s="375" t="s">
        <v>369</v>
      </c>
      <c r="D21" s="349" t="s">
        <v>443</v>
      </c>
      <c r="F21" s="348">
        <f t="shared" si="5"/>
        <v>19</v>
      </c>
      <c r="G21" s="349" t="s">
        <v>603</v>
      </c>
      <c r="H21" s="369" t="s">
        <v>284</v>
      </c>
      <c r="J21" s="348">
        <f t="shared" si="6"/>
        <v>19</v>
      </c>
      <c r="K21" s="354" t="str" cm="1">
        <f t="array" aca="1" ref="K21" ca="1" xml:space="preserve"> INDIRECT(ADDRESS(2+$F21,COLUMN(G:G)))</f>
        <v>v</v>
      </c>
      <c r="L21" s="363" t="str" cm="1">
        <f t="array" aca="1" ref="L21" ca="1" xml:space="preserve"> IFERROR( INDEX($H$3:$H$54, MATCH(TRUE, EXACT($K21,$G$3:$G$54), 0)), "")</f>
        <v>ㄒ</v>
      </c>
      <c r="M21" s="362" t="str" cm="1">
        <f t="array" aca="1" ref="M21" ca="1" xml:space="preserve"> IFERROR( INDEX($C$3:$C$54, MATCH(TRUE, EXACT($K21,$D$3:$D$54), 0)), "")</f>
        <v>S</v>
      </c>
      <c r="N21" s="366" t="s">
        <v>606</v>
      </c>
      <c r="P21" s="348">
        <f t="shared" si="7"/>
        <v>19</v>
      </c>
      <c r="Q21" s="373" t="str">
        <f t="shared" ca="1" si="0"/>
        <v>v</v>
      </c>
      <c r="R21" s="364" t="str">
        <f t="shared" ca="1" si="1"/>
        <v>ㄒ</v>
      </c>
      <c r="S21" s="373" t="str">
        <f t="shared" ca="1" si="2"/>
        <v>S</v>
      </c>
      <c r="T21" s="370" t="str">
        <f t="shared" si="8"/>
        <v>si-</v>
      </c>
    </row>
    <row r="22" spans="2:21">
      <c r="B22" s="348">
        <f t="shared" si="4"/>
        <v>20</v>
      </c>
      <c r="C22" s="375" t="s">
        <v>368</v>
      </c>
      <c r="D22" s="349" t="s">
        <v>28</v>
      </c>
      <c r="F22" s="348">
        <f t="shared" si="5"/>
        <v>20</v>
      </c>
      <c r="G22" s="349" t="s">
        <v>28</v>
      </c>
      <c r="H22" s="369" t="s">
        <v>109</v>
      </c>
      <c r="J22" s="348">
        <f t="shared" si="6"/>
        <v>20</v>
      </c>
      <c r="K22" s="354" t="str" cm="1">
        <f t="array" aca="1" ref="K22" ca="1" xml:space="preserve"> INDIRECT(ADDRESS(2+$F22,COLUMN(G:G)))</f>
        <v>b</v>
      </c>
      <c r="L22" s="363" t="str" cm="1">
        <f t="array" aca="1" ref="L22" ca="1" xml:space="preserve"> IFERROR( INDEX($H$3:$H$54, MATCH(TRUE, EXACT($K22,$G$3:$G$54), 0)), "")</f>
        <v>ㆢ</v>
      </c>
      <c r="M22" s="362" t="str" cm="1">
        <f t="array" aca="1" ref="M22" ca="1" xml:space="preserve"> IFERROR( INDEX($C$3:$C$54, MATCH(TRUE, EXACT($K22,$D$3:$D$54), 0)), "")</f>
        <v>J</v>
      </c>
      <c r="N22" s="366" t="s">
        <v>583</v>
      </c>
      <c r="P22" s="348">
        <f t="shared" si="7"/>
        <v>20</v>
      </c>
      <c r="Q22" s="373" t="str">
        <f t="shared" ca="1" si="0"/>
        <v>b</v>
      </c>
      <c r="R22" s="364" t="str">
        <f t="shared" ca="1" si="1"/>
        <v>ㆢ</v>
      </c>
      <c r="S22" s="373" t="str">
        <f t="shared" ca="1" si="2"/>
        <v>J</v>
      </c>
      <c r="T22" s="370" t="str">
        <f t="shared" si="8"/>
        <v>ji-</v>
      </c>
    </row>
    <row r="23" spans="2:21">
      <c r="B23" s="348">
        <f t="shared" si="4"/>
        <v>21</v>
      </c>
      <c r="C23" s="375" t="s">
        <v>279</v>
      </c>
      <c r="D23" s="349" t="s">
        <v>196</v>
      </c>
      <c r="F23" s="348">
        <f t="shared" si="5"/>
        <v>21</v>
      </c>
      <c r="G23" s="349" t="s">
        <v>196</v>
      </c>
      <c r="H23" s="369" t="s">
        <v>54</v>
      </c>
      <c r="J23" s="348">
        <f t="shared" si="6"/>
        <v>21</v>
      </c>
      <c r="K23" s="354" t="str" cm="1">
        <f t="array" aca="1" ref="K23" ca="1" xml:space="preserve"> INDIRECT(ADDRESS(2+$F23,COLUMN(G:G)))</f>
        <v>u</v>
      </c>
      <c r="L23" s="363" t="str" cm="1">
        <f t="array" aca="1" ref="L23" ca="1" xml:space="preserve"> IFERROR( INDEX($H$3:$H$54, MATCH(TRUE, EXACT($K23,$G$3:$G$54), 0)), "")</f>
        <v>ㄧ</v>
      </c>
      <c r="M23" s="362" t="str" cm="1">
        <f t="array" aca="1" ref="M23" ca="1" xml:space="preserve"> IFERROR( INDEX($C$3:$C$54, MATCH(TRUE, EXACT($K23,$D$3:$D$54), 0)), "")</f>
        <v>i</v>
      </c>
      <c r="N23" s="366" t="s">
        <v>55</v>
      </c>
      <c r="P23" s="348">
        <f t="shared" si="7"/>
        <v>21</v>
      </c>
      <c r="Q23" s="372" t="str">
        <f t="shared" ca="1" si="0"/>
        <v>u</v>
      </c>
      <c r="R23" s="374" t="str">
        <f t="shared" ca="1" si="1"/>
        <v>ㄧ</v>
      </c>
      <c r="S23" s="372" t="str">
        <f t="shared" ca="1" si="2"/>
        <v>i</v>
      </c>
      <c r="T23" s="370" t="str">
        <f t="shared" si="8"/>
        <v>i</v>
      </c>
    </row>
    <row r="24" spans="2:21">
      <c r="B24" s="348">
        <f t="shared" si="4"/>
        <v>22</v>
      </c>
      <c r="C24" s="375" t="s">
        <v>239</v>
      </c>
      <c r="D24" s="349" t="s">
        <v>230</v>
      </c>
      <c r="F24" s="348">
        <f t="shared" si="5"/>
        <v>22</v>
      </c>
      <c r="G24" s="349" t="s">
        <v>230</v>
      </c>
      <c r="H24" s="369" t="s">
        <v>111</v>
      </c>
      <c r="J24" s="348">
        <f t="shared" si="6"/>
        <v>22</v>
      </c>
      <c r="K24" s="354" t="str" cm="1">
        <f t="array" aca="1" ref="K24" ca="1" xml:space="preserve"> INDIRECT(ADDRESS(2+$F24,COLUMN(G:G)))</f>
        <v>U</v>
      </c>
      <c r="L24" s="363" t="str" cm="1">
        <f t="array" aca="1" ref="L24" ca="1" xml:space="preserve"> IFERROR( INDEX($H$3:$H$54, MATCH(TRUE, EXACT($K24,$G$3:$G$54), 0)), "")</f>
        <v>ㆪ</v>
      </c>
      <c r="M24" s="362" t="str" cm="1">
        <f t="array" aca="1" ref="M24" ca="1" xml:space="preserve"> IFERROR( INDEX($C$3:$C$54, MATCH(TRUE, EXACT($K24,$D$3:$D$54), 0)), "")</f>
        <v>I</v>
      </c>
      <c r="N24" s="366" t="s">
        <v>112</v>
      </c>
      <c r="P24" s="348">
        <f t="shared" si="7"/>
        <v>22</v>
      </c>
      <c r="Q24" s="373" t="str">
        <f t="shared" ca="1" si="0"/>
        <v>U</v>
      </c>
      <c r="R24" s="364" t="str">
        <f t="shared" ca="1" si="1"/>
        <v>ㆪ</v>
      </c>
      <c r="S24" s="373" t="str">
        <f t="shared" ca="1" si="2"/>
        <v>I</v>
      </c>
      <c r="T24" s="370" t="str">
        <f t="shared" si="8"/>
        <v>inn</v>
      </c>
    </row>
    <row r="25" spans="2:21">
      <c r="B25" s="348">
        <f t="shared" si="4"/>
        <v>23</v>
      </c>
      <c r="C25" s="375" t="s">
        <v>196</v>
      </c>
      <c r="D25" s="349" t="s">
        <v>254</v>
      </c>
      <c r="F25" s="348">
        <f t="shared" si="5"/>
        <v>23</v>
      </c>
      <c r="G25" s="349" t="s">
        <v>254</v>
      </c>
      <c r="H25" s="369" t="s">
        <v>56</v>
      </c>
      <c r="J25" s="348">
        <f t="shared" si="6"/>
        <v>23</v>
      </c>
      <c r="K25" s="354" t="str" cm="1">
        <f t="array" aca="1" ref="K25" ca="1" xml:space="preserve"> INDIRECT(ADDRESS(2+$F25,COLUMN(G:G)))</f>
        <v>j</v>
      </c>
      <c r="L25" s="363" t="str" cm="1">
        <f t="array" aca="1" ref="L25" ca="1" xml:space="preserve"> IFERROR( INDEX($H$3:$H$54, MATCH(TRUE, EXACT($K25,$G$3:$G$54), 0)), "")</f>
        <v>ㄨ</v>
      </c>
      <c r="M25" s="362" t="str" cm="1">
        <f t="array" aca="1" ref="M25" ca="1" xml:space="preserve"> IFERROR( INDEX($C$3:$C$54, MATCH(TRUE, EXACT($K25,$D$3:$D$54), 0)), "")</f>
        <v>u</v>
      </c>
      <c r="N25" s="366" t="s">
        <v>57</v>
      </c>
      <c r="P25" s="348">
        <f t="shared" si="7"/>
        <v>23</v>
      </c>
      <c r="Q25" s="372" t="str">
        <f t="shared" ca="1" si="0"/>
        <v>j</v>
      </c>
      <c r="R25" s="374" t="str">
        <f t="shared" ca="1" si="1"/>
        <v>ㄨ</v>
      </c>
      <c r="S25" s="372" t="str">
        <f t="shared" ca="1" si="2"/>
        <v>u</v>
      </c>
      <c r="T25" s="370" t="str">
        <f t="shared" si="8"/>
        <v>u</v>
      </c>
      <c r="U25" s="347"/>
    </row>
    <row r="26" spans="2:21">
      <c r="B26" s="348">
        <f t="shared" si="4"/>
        <v>24</v>
      </c>
      <c r="C26" s="375" t="s">
        <v>230</v>
      </c>
      <c r="D26" s="349" t="s">
        <v>368</v>
      </c>
      <c r="F26" s="348">
        <f t="shared" si="5"/>
        <v>24</v>
      </c>
      <c r="G26" s="349" t="s">
        <v>368</v>
      </c>
      <c r="H26" s="369" t="s">
        <v>113</v>
      </c>
      <c r="J26" s="348">
        <f t="shared" si="6"/>
        <v>24</v>
      </c>
      <c r="K26" s="354" t="str" cm="1">
        <f t="array" aca="1" ref="K26" ca="1" xml:space="preserve"> INDIRECT(ADDRESS(2+$F26,COLUMN(G:G)))</f>
        <v>J</v>
      </c>
      <c r="L26" s="363" t="str" cm="1">
        <f t="array" aca="1" ref="L26" ca="1" xml:space="preserve"> IFERROR( INDEX($H$3:$H$54, MATCH(TRUE, EXACT($K26,$G$3:$G$54), 0)), "")</f>
        <v>ㆫ</v>
      </c>
      <c r="M26" s="362" t="str" cm="1">
        <f t="array" aca="1" ref="M26" ca="1" xml:space="preserve"> IFERROR( INDEX($C$3:$C$54, MATCH(TRUE, EXACT($K26,$D$3:$D$54), 0)), "")</f>
        <v>U</v>
      </c>
      <c r="N26" s="366" t="s">
        <v>114</v>
      </c>
      <c r="P26" s="348">
        <f t="shared" si="7"/>
        <v>24</v>
      </c>
      <c r="Q26" s="373" t="str">
        <f t="shared" ca="1" si="0"/>
        <v>J</v>
      </c>
      <c r="R26" s="364" t="str">
        <f t="shared" ca="1" si="1"/>
        <v>ㆫ</v>
      </c>
      <c r="S26" s="373" t="str">
        <f t="shared" ca="1" si="2"/>
        <v>U</v>
      </c>
      <c r="T26" s="370" t="str">
        <f t="shared" si="8"/>
        <v>unn</v>
      </c>
      <c r="U26" s="347"/>
    </row>
    <row r="27" spans="2:21">
      <c r="B27" s="348">
        <f t="shared" si="4"/>
        <v>25</v>
      </c>
      <c r="C27" s="375" t="s">
        <v>144</v>
      </c>
      <c r="D27" s="349" t="s">
        <v>143</v>
      </c>
      <c r="F27" s="348">
        <f t="shared" si="5"/>
        <v>25</v>
      </c>
      <c r="G27" s="349" t="s">
        <v>143</v>
      </c>
      <c r="H27" s="369" t="s">
        <v>145</v>
      </c>
      <c r="J27" s="348">
        <f t="shared" si="6"/>
        <v>25</v>
      </c>
      <c r="K27" s="354" t="str" cm="1">
        <f t="array" aca="1" ref="K27" ca="1" xml:space="preserve"> INDIRECT(ADDRESS(2+$F27,COLUMN(G:G)))</f>
        <v>m</v>
      </c>
      <c r="L27" s="363" t="str" cm="1">
        <f t="array" aca="1" ref="L27" ca="1" xml:space="preserve"> IFERROR( INDEX($H$3:$H$54, MATCH(TRUE, EXACT($K27,$G$3:$G$54), 0)), "")</f>
        <v>ㆬ</v>
      </c>
      <c r="M27" s="362" t="str" cm="1">
        <f t="array" aca="1" ref="M27" ca="1" xml:space="preserve"> IFERROR( INDEX($C$3:$C$54, MATCH(TRUE, EXACT($K27,$D$3:$D$54), 0)), "")</f>
        <v>B</v>
      </c>
      <c r="N27" s="367" t="s">
        <v>79</v>
      </c>
      <c r="P27" s="348">
        <f t="shared" si="7"/>
        <v>25</v>
      </c>
      <c r="Q27" s="372" t="str">
        <f t="shared" ca="1" si="0"/>
        <v>m</v>
      </c>
      <c r="R27" s="374" t="str">
        <f t="shared" ca="1" si="1"/>
        <v>ㆬ</v>
      </c>
      <c r="S27" s="372" t="str">
        <f t="shared" ca="1" si="2"/>
        <v>B</v>
      </c>
      <c r="T27" s="370" t="str">
        <f t="shared" si="8"/>
        <v>-m</v>
      </c>
      <c r="U27" s="347"/>
    </row>
    <row r="28" spans="2:21">
      <c r="B28" s="348">
        <f t="shared" si="4"/>
        <v>26</v>
      </c>
      <c r="C28" s="375" t="s">
        <v>351</v>
      </c>
      <c r="D28" s="349" t="s">
        <v>591</v>
      </c>
      <c r="F28" s="348">
        <f t="shared" si="5"/>
        <v>26</v>
      </c>
      <c r="G28" s="349" t="s">
        <v>591</v>
      </c>
      <c r="H28" s="369" t="s">
        <v>58</v>
      </c>
      <c r="J28" s="348">
        <f t="shared" si="6"/>
        <v>26</v>
      </c>
      <c r="K28" s="354" t="str" cm="1">
        <f t="array" aca="1" ref="K28" ca="1" xml:space="preserve"> INDIRECT(ADDRESS(2+$F28,COLUMN(G:G)))</f>
        <v>8</v>
      </c>
      <c r="L28" s="363" t="str" cm="1">
        <f t="array" aca="1" ref="L28" ca="1" xml:space="preserve"> IFERROR( INDEX($H$3:$H$54, MATCH(TRUE, EXACT($K28,$G$3:$G$54), 0)), "")</f>
        <v>ㄚ</v>
      </c>
      <c r="M28" s="362" t="str" cm="1">
        <f t="array" aca="1" ref="M28" ca="1" xml:space="preserve"> IFERROR( INDEX($C$3:$C$54, MATCH(TRUE, EXACT($K28,$D$3:$D$54), 0)), "")</f>
        <v>a</v>
      </c>
      <c r="N28" s="366" t="s">
        <v>59</v>
      </c>
      <c r="P28" s="348">
        <f t="shared" si="7"/>
        <v>26</v>
      </c>
      <c r="Q28" s="372" t="str">
        <f t="shared" ca="1" si="0"/>
        <v>8</v>
      </c>
      <c r="R28" s="374" t="str">
        <f t="shared" ca="1" si="1"/>
        <v>ㄚ</v>
      </c>
      <c r="S28" s="372" t="str">
        <f t="shared" ca="1" si="2"/>
        <v>a</v>
      </c>
      <c r="T28" s="370" t="str">
        <f t="shared" si="8"/>
        <v>a</v>
      </c>
      <c r="U28" s="347"/>
    </row>
    <row r="29" spans="2:21">
      <c r="B29" s="348">
        <f t="shared" si="4"/>
        <v>27</v>
      </c>
      <c r="C29" s="375" t="s">
        <v>401</v>
      </c>
      <c r="D29" s="349" t="s">
        <v>484</v>
      </c>
      <c r="F29" s="348">
        <f t="shared" si="5"/>
        <v>27</v>
      </c>
      <c r="G29" s="349" t="s">
        <v>484</v>
      </c>
      <c r="H29" s="369" t="s">
        <v>115</v>
      </c>
      <c r="J29" s="348">
        <f t="shared" si="6"/>
        <v>27</v>
      </c>
      <c r="K29" s="354" t="str" cm="1">
        <f t="array" aca="1" ref="K29" ca="1" xml:space="preserve"> INDIRECT(ADDRESS(2+$F29,COLUMN(G:G)))</f>
        <v>*</v>
      </c>
      <c r="L29" s="363" t="str" cm="1">
        <f t="array" aca="1" ref="L29" ca="1" xml:space="preserve"> IFERROR( INDEX($H$3:$H$54, MATCH(TRUE, EXACT($K29,$G$3:$G$54), 0)), "")</f>
        <v>ㆩ</v>
      </c>
      <c r="M29" s="362" t="str" cm="1">
        <f t="array" aca="1" ref="M29" ca="1" xml:space="preserve"> IFERROR( INDEX($C$3:$C$54, MATCH(TRUE, EXACT($K29,$D$3:$D$54), 0)), "")</f>
        <v>A</v>
      </c>
      <c r="N29" s="366" t="s">
        <v>116</v>
      </c>
      <c r="P29" s="348">
        <f t="shared" si="7"/>
        <v>27</v>
      </c>
      <c r="Q29" s="373" t="str">
        <f t="shared" ca="1" si="0"/>
        <v>*</v>
      </c>
      <c r="R29" s="364" t="str">
        <f t="shared" ca="1" si="1"/>
        <v>ㆩ</v>
      </c>
      <c r="S29" s="373" t="str">
        <f t="shared" ca="1" si="2"/>
        <v>A</v>
      </c>
      <c r="T29" s="370" t="str">
        <f t="shared" si="8"/>
        <v>ann</v>
      </c>
    </row>
    <row r="30" spans="2:21">
      <c r="B30" s="348">
        <f t="shared" si="4"/>
        <v>28</v>
      </c>
      <c r="C30" s="375" t="s">
        <v>69</v>
      </c>
      <c r="D30" s="349" t="s">
        <v>279</v>
      </c>
      <c r="F30" s="348">
        <f t="shared" si="5"/>
        <v>28</v>
      </c>
      <c r="G30" s="349" t="s">
        <v>279</v>
      </c>
      <c r="H30" s="369" t="s">
        <v>67</v>
      </c>
      <c r="J30" s="348">
        <f t="shared" si="6"/>
        <v>28</v>
      </c>
      <c r="K30" s="354" t="str" cm="1">
        <f t="array" aca="1" ref="K30" ca="1" xml:space="preserve"> INDIRECT(ADDRESS(2+$F30,COLUMN(G:G)))</f>
        <v>i</v>
      </c>
      <c r="L30" s="363" t="str" cm="1">
        <f t="array" aca="1" ref="L30" ca="1" xml:space="preserve"> IFERROR( INDEX($H$3:$H$54, MATCH(TRUE, EXACT($K30,$G$3:$G$54), 0)), "")</f>
        <v>ㆦ</v>
      </c>
      <c r="M30" s="362" t="str" cm="1">
        <f t="array" aca="1" ref="M30" ca="1" xml:space="preserve"> IFERROR( INDEX($C$3:$C$54, MATCH(TRUE, EXACT($K30,$D$3:$D$54), 0)), "")</f>
        <v>O</v>
      </c>
      <c r="N30" s="366" t="s">
        <v>68</v>
      </c>
      <c r="P30" s="348">
        <f t="shared" si="7"/>
        <v>28</v>
      </c>
      <c r="Q30" s="372" t="str">
        <f t="shared" ca="1" si="0"/>
        <v>i</v>
      </c>
      <c r="R30" s="374" t="str">
        <f t="shared" ca="1" si="1"/>
        <v>ㆦ</v>
      </c>
      <c r="S30" s="372" t="str">
        <f t="shared" ca="1" si="2"/>
        <v>O</v>
      </c>
      <c r="T30" s="370" t="str">
        <f t="shared" si="8"/>
        <v>oo</v>
      </c>
      <c r="U30" s="347"/>
    </row>
    <row r="31" spans="2:21">
      <c r="B31" s="348">
        <f t="shared" si="4"/>
        <v>29</v>
      </c>
      <c r="C31" s="375" t="s">
        <v>397</v>
      </c>
      <c r="D31" s="349" t="s">
        <v>239</v>
      </c>
      <c r="F31" s="348">
        <f t="shared" si="5"/>
        <v>29</v>
      </c>
      <c r="G31" s="349" t="s">
        <v>239</v>
      </c>
      <c r="H31" s="369" t="s">
        <v>597</v>
      </c>
      <c r="J31" s="348">
        <f t="shared" si="6"/>
        <v>29</v>
      </c>
      <c r="K31" s="354" t="str" cm="1">
        <f t="array" aca="1" ref="K31" ca="1" xml:space="preserve"> INDIRECT(ADDRESS(2+$F31,COLUMN(G:G)))</f>
        <v>I</v>
      </c>
      <c r="L31" s="363" t="str" cm="1">
        <f t="array" aca="1" ref="L31" ca="1" xml:space="preserve"> IFERROR( INDEX($H$3:$H$54, MATCH(TRUE, EXACT($K31,$G$3:$G$54), 0)), "")</f>
        <v>ㆧ</v>
      </c>
      <c r="M31" s="362" t="str" cm="1">
        <f t="array" aca="1" ref="M31" ca="1" xml:space="preserve"> IFERROR( INDEX($C$3:$C$54, MATCH(TRUE, EXACT($K31,$D$3:$D$54), 0)), "")</f>
        <v>Q</v>
      </c>
      <c r="N31" s="366" t="s">
        <v>122</v>
      </c>
      <c r="P31" s="348">
        <f t="shared" si="7"/>
        <v>29</v>
      </c>
      <c r="Q31" s="373" t="str">
        <f t="shared" ca="1" si="0"/>
        <v>I</v>
      </c>
      <c r="R31" s="364" t="str">
        <f t="shared" ca="1" si="1"/>
        <v>ㆧ</v>
      </c>
      <c r="S31" s="373" t="str">
        <f t="shared" ca="1" si="2"/>
        <v>Q</v>
      </c>
      <c r="T31" s="370" t="str">
        <f t="shared" si="8"/>
        <v>onn</v>
      </c>
      <c r="U31" s="347"/>
    </row>
    <row r="32" spans="2:21">
      <c r="B32" s="348">
        <f t="shared" si="4"/>
        <v>30</v>
      </c>
      <c r="C32" s="375" t="s">
        <v>66</v>
      </c>
      <c r="D32" s="349" t="s">
        <v>37</v>
      </c>
      <c r="F32" s="348">
        <f t="shared" si="5"/>
        <v>30</v>
      </c>
      <c r="G32" s="349" t="s">
        <v>37</v>
      </c>
      <c r="H32" s="369" t="s">
        <v>473</v>
      </c>
      <c r="J32" s="348">
        <f t="shared" si="6"/>
        <v>30</v>
      </c>
      <c r="K32" s="354" t="str" cm="1">
        <f t="array" aca="1" ref="K32" ca="1" xml:space="preserve"> INDIRECT(ADDRESS(2+$F32,COLUMN(G:G)))</f>
        <v>k</v>
      </c>
      <c r="L32" s="363" t="str" cm="1">
        <f t="array" aca="1" ref="L32" ca="1" xml:space="preserve"> IFERROR( INDEX($H$3:$H$54, MATCH(TRUE, EXACT($K32,$G$3:$G$54), 0)), "")</f>
        <v>ㄜ</v>
      </c>
      <c r="M32" s="362" t="str" cm="1">
        <f t="array" aca="1" ref="M32" ca="1" xml:space="preserve"> IFERROR( INDEX($C$3:$C$54, MATCH(TRUE, EXACT($K32,$D$3:$D$54), 0)), "")</f>
        <v>o</v>
      </c>
      <c r="N32" s="366" t="s">
        <v>66</v>
      </c>
      <c r="P32" s="348">
        <f t="shared" si="7"/>
        <v>30</v>
      </c>
      <c r="Q32" s="372" t="str">
        <f t="shared" ca="1" si="0"/>
        <v>k</v>
      </c>
      <c r="R32" s="374" t="str">
        <f t="shared" ca="1" si="1"/>
        <v>ㄜ</v>
      </c>
      <c r="S32" s="372" t="str">
        <f t="shared" ca="1" si="2"/>
        <v>o</v>
      </c>
      <c r="T32" s="370" t="str">
        <f t="shared" si="8"/>
        <v>o</v>
      </c>
      <c r="U32" s="347"/>
    </row>
    <row r="33" spans="2:21">
      <c r="B33" s="348">
        <f t="shared" si="4"/>
        <v>31</v>
      </c>
      <c r="C33" s="375" t="s">
        <v>62</v>
      </c>
      <c r="D33" s="349" t="s">
        <v>225</v>
      </c>
      <c r="F33" s="348">
        <f t="shared" si="5"/>
        <v>31</v>
      </c>
      <c r="G33" s="349" t="s">
        <v>225</v>
      </c>
      <c r="H33" s="369" t="s">
        <v>61</v>
      </c>
      <c r="J33" s="348">
        <f t="shared" si="6"/>
        <v>31</v>
      </c>
      <c r="K33" s="354" t="str" cm="1">
        <f t="array" aca="1" ref="K33" ca="1" xml:space="preserve"> INDIRECT(ADDRESS(2+$F33,COLUMN(G:G)))</f>
        <v>,</v>
      </c>
      <c r="L33" s="363" t="str" cm="1">
        <f t="array" aca="1" ref="L33" ca="1" xml:space="preserve"> IFERROR( INDEX($H$3:$H$54, MATCH(TRUE, EXACT($K33,$G$3:$G$54), 0)), "")</f>
        <v>ㆤ</v>
      </c>
      <c r="M33" s="362" t="str" cm="1">
        <f t="array" aca="1" ref="M33" ca="1" xml:space="preserve"> IFERROR( INDEX($C$3:$C$54, MATCH(TRUE, EXACT($K33,$D$3:$D$54), 0)), "")</f>
        <v>e</v>
      </c>
      <c r="N33" s="366" t="s">
        <v>62</v>
      </c>
      <c r="P33" s="348">
        <f t="shared" si="7"/>
        <v>31</v>
      </c>
      <c r="Q33" s="372" t="str">
        <f t="shared" ca="1" si="0"/>
        <v>,</v>
      </c>
      <c r="R33" s="374" t="str">
        <f t="shared" ca="1" si="1"/>
        <v>ㆤ</v>
      </c>
      <c r="S33" s="372" t="str">
        <f t="shared" ca="1" si="2"/>
        <v>e</v>
      </c>
      <c r="T33" s="370" t="str">
        <f t="shared" si="8"/>
        <v>e</v>
      </c>
      <c r="U33" s="347"/>
    </row>
    <row r="34" spans="2:21">
      <c r="B34" s="348">
        <f t="shared" si="4"/>
        <v>32</v>
      </c>
      <c r="C34" s="375" t="s">
        <v>421</v>
      </c>
      <c r="D34" s="349" t="s">
        <v>598</v>
      </c>
      <c r="F34" s="348">
        <f t="shared" si="5"/>
        <v>32</v>
      </c>
      <c r="G34" s="349" t="s">
        <v>598</v>
      </c>
      <c r="H34" s="369" t="s">
        <v>119</v>
      </c>
      <c r="J34" s="348">
        <f t="shared" si="6"/>
        <v>32</v>
      </c>
      <c r="K34" s="354" t="str" cm="1">
        <f t="array" aca="1" ref="K34" ca="1" xml:space="preserve"> INDIRECT(ADDRESS(2+$F34,COLUMN(G:G)))</f>
        <v>&lt;</v>
      </c>
      <c r="L34" s="363" t="str" cm="1">
        <f t="array" aca="1" ref="L34" ca="1" xml:space="preserve"> IFERROR( INDEX($H$3:$H$54, MATCH(TRUE, EXACT($K34,$G$3:$G$54), 0)), "")</f>
        <v>ㆥ</v>
      </c>
      <c r="M34" s="362" t="str" cm="1">
        <f t="array" aca="1" ref="M34" ca="1" xml:space="preserve"> IFERROR( INDEX($C$3:$C$54, MATCH(TRUE, EXACT($K34,$D$3:$D$54), 0)), "")</f>
        <v>E</v>
      </c>
      <c r="N34" s="366" t="s">
        <v>120</v>
      </c>
      <c r="P34" s="348">
        <f t="shared" si="7"/>
        <v>32</v>
      </c>
      <c r="Q34" s="373" t="str">
        <f t="shared" ca="1" si="0"/>
        <v>&lt;</v>
      </c>
      <c r="R34" s="364" t="str">
        <f t="shared" ca="1" si="1"/>
        <v>ㆥ</v>
      </c>
      <c r="S34" s="373" t="str">
        <f t="shared" ca="1" si="2"/>
        <v>E</v>
      </c>
      <c r="T34" s="370" t="str">
        <f t="shared" si="8"/>
        <v>enn</v>
      </c>
      <c r="U34" s="347"/>
    </row>
    <row r="35" spans="2:21">
      <c r="B35" s="348">
        <f t="shared" si="4"/>
        <v>33</v>
      </c>
      <c r="C35" s="375" t="s">
        <v>275</v>
      </c>
      <c r="D35" s="349" t="s">
        <v>264</v>
      </c>
      <c r="F35" s="348">
        <f t="shared" si="5"/>
        <v>33</v>
      </c>
      <c r="G35" s="349" t="s">
        <v>264</v>
      </c>
      <c r="H35" s="369" t="s">
        <v>241</v>
      </c>
      <c r="J35" s="348">
        <f t="shared" si="6"/>
        <v>33</v>
      </c>
      <c r="K35" s="354" t="str" cm="1">
        <f t="array" aca="1" ref="K35" ca="1" xml:space="preserve"> INDIRECT(ADDRESS(2+$F35,COLUMN(G:G)))</f>
        <v>9</v>
      </c>
      <c r="L35" s="363" t="str" cm="1">
        <f t="array" aca="1" ref="L35" ca="1" xml:space="preserve"> IFERROR( INDEX($H$3:$H$54, MATCH(TRUE, EXACT($K35,$G$3:$G$54), 0)), "")</f>
        <v>ㄞ</v>
      </c>
      <c r="M35" s="362" t="str" cm="1">
        <f t="array" aca="1" ref="M35" ca="1" xml:space="preserve"> IFERROR( INDEX($C$3:$C$54, MATCH(TRUE, EXACT($K35,$D$3:$D$54), 0)), "")</f>
        <v>I</v>
      </c>
      <c r="N35" s="366" t="s">
        <v>71</v>
      </c>
      <c r="P35" s="348">
        <f t="shared" si="7"/>
        <v>33</v>
      </c>
      <c r="Q35" s="372" t="str">
        <f t="shared" ref="Q35:Q54" ca="1" si="9">K35</f>
        <v>9</v>
      </c>
      <c r="R35" s="374" t="str">
        <f t="shared" ref="R35:R54" ca="1" si="10">L35</f>
        <v>ㄞ</v>
      </c>
      <c r="S35" s="372" t="str">
        <f t="shared" ref="S35:S54" ca="1" si="11">M35</f>
        <v>I</v>
      </c>
      <c r="T35" s="370" t="str">
        <f t="shared" si="8"/>
        <v>ai</v>
      </c>
    </row>
    <row r="36" spans="2:21">
      <c r="B36" s="348">
        <f t="shared" si="4"/>
        <v>34</v>
      </c>
      <c r="C36" s="375" t="s">
        <v>374</v>
      </c>
      <c r="D36" s="349" t="s">
        <v>491</v>
      </c>
      <c r="F36" s="348">
        <f t="shared" si="5"/>
        <v>34</v>
      </c>
      <c r="G36" s="349" t="s">
        <v>491</v>
      </c>
      <c r="H36" s="369" t="s">
        <v>117</v>
      </c>
      <c r="J36" s="348">
        <f t="shared" si="6"/>
        <v>34</v>
      </c>
      <c r="K36" s="354" t="str" cm="1">
        <f t="array" aca="1" ref="K36" ca="1" xml:space="preserve"> INDIRECT(ADDRESS(2+$F36,COLUMN(G:G)))</f>
        <v>(</v>
      </c>
      <c r="L36" s="363" t="str" cm="1">
        <f t="array" aca="1" ref="L36" ca="1" xml:space="preserve"> IFERROR( INDEX($H$3:$H$54, MATCH(TRUE, EXACT($K36,$G$3:$G$54), 0)), "")</f>
        <v>ㆮ</v>
      </c>
      <c r="M36" s="362" t="str" cm="1">
        <f t="array" aca="1" ref="M36" ca="1" xml:space="preserve"> IFERROR( INDEX($C$3:$C$54, MATCH(TRUE, EXACT($K36,$D$3:$D$54), 0)), "")</f>
        <v>Y</v>
      </c>
      <c r="N36" s="366" t="s">
        <v>118</v>
      </c>
      <c r="P36" s="348">
        <f t="shared" si="7"/>
        <v>34</v>
      </c>
      <c r="Q36" s="373" t="str">
        <f t="shared" ca="1" si="9"/>
        <v>(</v>
      </c>
      <c r="R36" s="364" t="str">
        <f t="shared" ca="1" si="10"/>
        <v>ㆮ</v>
      </c>
      <c r="S36" s="373" t="str">
        <f t="shared" ca="1" si="11"/>
        <v>Y</v>
      </c>
      <c r="T36" s="370" t="str">
        <f t="shared" si="8"/>
        <v>ainn</v>
      </c>
      <c r="U36" s="347"/>
    </row>
    <row r="37" spans="2:21">
      <c r="B37" s="348">
        <f t="shared" si="4"/>
        <v>35</v>
      </c>
      <c r="C37" s="375" t="s">
        <v>259</v>
      </c>
      <c r="D37" s="349" t="s">
        <v>86</v>
      </c>
      <c r="F37" s="348">
        <f t="shared" si="5"/>
        <v>35</v>
      </c>
      <c r="G37" s="349" t="s">
        <v>86</v>
      </c>
      <c r="H37" s="369" t="s">
        <v>72</v>
      </c>
      <c r="J37" s="348">
        <f t="shared" si="6"/>
        <v>35</v>
      </c>
      <c r="K37" s="354" t="str" cm="1">
        <f t="array" aca="1" ref="K37" ca="1" xml:space="preserve"> INDIRECT(ADDRESS(2+$F37,COLUMN(G:G)))</f>
        <v>l</v>
      </c>
      <c r="L37" s="363" t="str" cm="1">
        <f t="array" aca="1" ref="L37" ca="1" xml:space="preserve"> IFERROR( INDEX($H$3:$H$54, MATCH(TRUE, EXACT($K37,$G$3:$G$54), 0)), "")</f>
        <v>ㄠ</v>
      </c>
      <c r="M37" s="362" t="str" cm="1">
        <f t="array" aca="1" ref="M37" ca="1" xml:space="preserve"> IFERROR( INDEX($C$3:$C$54, MATCH(TRUE, EXACT($K37,$D$3:$D$54), 0)), "")</f>
        <v>U</v>
      </c>
      <c r="N37" s="366" t="s">
        <v>73</v>
      </c>
      <c r="P37" s="348">
        <f t="shared" si="7"/>
        <v>35</v>
      </c>
      <c r="Q37" s="372" t="str">
        <f t="shared" ca="1" si="9"/>
        <v>l</v>
      </c>
      <c r="R37" s="374" t="str">
        <f t="shared" ca="1" si="10"/>
        <v>ㄠ</v>
      </c>
      <c r="S37" s="372" t="str">
        <f t="shared" ca="1" si="11"/>
        <v>U</v>
      </c>
      <c r="T37" s="370" t="str">
        <f t="shared" si="8"/>
        <v>au</v>
      </c>
    </row>
    <row r="38" spans="2:21">
      <c r="B38" s="348">
        <f t="shared" si="4"/>
        <v>36</v>
      </c>
      <c r="C38" s="375" t="s">
        <v>414</v>
      </c>
      <c r="D38" s="349" t="s">
        <v>497</v>
      </c>
      <c r="F38" s="348">
        <f t="shared" si="5"/>
        <v>36</v>
      </c>
      <c r="G38" s="349" t="s">
        <v>497</v>
      </c>
      <c r="H38" s="369" t="s">
        <v>123</v>
      </c>
      <c r="J38" s="348">
        <f t="shared" si="6"/>
        <v>36</v>
      </c>
      <c r="K38" s="354" t="str" cm="1">
        <f t="array" aca="1" ref="K38" ca="1" xml:space="preserve"> INDIRECT(ADDRESS(2+$F38,COLUMN(G:G)))</f>
        <v>L</v>
      </c>
      <c r="L38" s="363" t="str" cm="1">
        <f t="array" aca="1" ref="L38" ca="1" xml:space="preserve"> IFERROR( INDEX($H$3:$H$54, MATCH(TRUE, EXACT($K38,$G$3:$G$54), 0)), "")</f>
        <v>ㆯ</v>
      </c>
      <c r="M38" s="362" t="str" cm="1">
        <f t="array" aca="1" ref="M38" ca="1" xml:space="preserve"> IFERROR( INDEX($C$3:$C$54, MATCH(TRUE, EXACT($K38,$D$3:$D$54), 0)), "")</f>
        <v>X</v>
      </c>
      <c r="N38" s="366" t="s">
        <v>124</v>
      </c>
      <c r="P38" s="348">
        <f t="shared" si="7"/>
        <v>36</v>
      </c>
      <c r="Q38" s="373" t="str">
        <f t="shared" ca="1" si="9"/>
        <v>L</v>
      </c>
      <c r="R38" s="364" t="str">
        <f t="shared" ca="1" si="10"/>
        <v>ㆯ</v>
      </c>
      <c r="S38" s="373" t="str">
        <f t="shared" ca="1" si="11"/>
        <v>X</v>
      </c>
      <c r="T38" s="370" t="str">
        <f t="shared" si="8"/>
        <v>aunn</v>
      </c>
    </row>
    <row r="39" spans="2:21">
      <c r="B39" s="348">
        <f t="shared" si="4"/>
        <v>37</v>
      </c>
      <c r="C39" s="375" t="s">
        <v>404</v>
      </c>
      <c r="D39" s="349" t="s">
        <v>219</v>
      </c>
      <c r="F39" s="348">
        <f t="shared" si="5"/>
        <v>37</v>
      </c>
      <c r="G39" s="349">
        <v>0</v>
      </c>
      <c r="H39" s="369" t="s">
        <v>97</v>
      </c>
      <c r="J39" s="348">
        <f t="shared" si="6"/>
        <v>37</v>
      </c>
      <c r="K39" s="354" cm="1">
        <f t="array" aca="1" ref="K39" ca="1" xml:space="preserve"> INDIRECT(ADDRESS(2+$F39,COLUMN(G:G)))</f>
        <v>0</v>
      </c>
      <c r="L39" s="363" t="str" cm="1">
        <f t="array" aca="1" ref="L39" ca="1" xml:space="preserve"> IFERROR( INDEX($H$3:$H$54, MATCH(TRUE, EXACT($K39,$G$3:$G$54), 0)), "")</f>
        <v>ㄢ</v>
      </c>
      <c r="M39" s="362" t="str" cm="1">
        <f t="array" aca="1" ref="M39" ca="1" xml:space="preserve"> IFERROR( INDEX($C$3:$C$54, MATCH(TRUE, EXACT($K39,$D$3:$D$54), 0)), "")</f>
        <v>@</v>
      </c>
      <c r="N39" s="366" t="s">
        <v>98</v>
      </c>
      <c r="P39" s="348">
        <f t="shared" si="7"/>
        <v>37</v>
      </c>
      <c r="Q39" s="372">
        <f t="shared" ca="1" si="9"/>
        <v>0</v>
      </c>
      <c r="R39" s="374" t="str">
        <f t="shared" ca="1" si="10"/>
        <v>ㄢ</v>
      </c>
      <c r="S39" s="372" t="str">
        <f t="shared" ca="1" si="11"/>
        <v>@</v>
      </c>
      <c r="T39" s="370" t="str">
        <f t="shared" si="8"/>
        <v>an</v>
      </c>
    </row>
    <row r="40" spans="2:21">
      <c r="B40" s="348">
        <f t="shared" si="4"/>
        <v>38</v>
      </c>
      <c r="C40" s="375" t="s">
        <v>189</v>
      </c>
      <c r="D40" s="349" t="s">
        <v>217</v>
      </c>
      <c r="F40" s="348">
        <f t="shared" si="5"/>
        <v>38</v>
      </c>
      <c r="G40" s="349" t="s">
        <v>217</v>
      </c>
      <c r="H40" s="369" t="s">
        <v>76</v>
      </c>
      <c r="J40" s="348">
        <f t="shared" si="6"/>
        <v>38</v>
      </c>
      <c r="K40" s="354" t="str" cm="1">
        <f t="array" aca="1" ref="K40" ca="1" xml:space="preserve"> INDIRECT(ADDRESS(2+$F40,COLUMN(G:G)))</f>
        <v>p</v>
      </c>
      <c r="L40" s="363" t="str" cm="1">
        <f t="array" aca="1" ref="L40" ca="1" xml:space="preserve"> IFERROR( INDEX($H$3:$H$54, MATCH(TRUE, EXACT($K40,$G$3:$G$54), 0)), "")</f>
        <v>ㄣ</v>
      </c>
      <c r="M40" s="362" t="str" cm="1">
        <f t="array" aca="1" ref="M40" ca="1" xml:space="preserve"> IFERROR( INDEX($C$3:$C$54, MATCH(TRUE, EXACT($K40,$D$3:$D$54), 0)), "")</f>
        <v>D</v>
      </c>
      <c r="N40" s="367" t="s">
        <v>77</v>
      </c>
      <c r="P40" s="348">
        <f t="shared" si="7"/>
        <v>38</v>
      </c>
      <c r="Q40" s="372" t="str">
        <f t="shared" ca="1" si="9"/>
        <v>p</v>
      </c>
      <c r="R40" s="374" t="str">
        <f t="shared" ca="1" si="10"/>
        <v>ㄣ</v>
      </c>
      <c r="S40" s="372" t="str">
        <f t="shared" ca="1" si="11"/>
        <v>D</v>
      </c>
      <c r="T40" s="370" t="str">
        <f t="shared" si="8"/>
        <v>-n</v>
      </c>
    </row>
    <row r="41" spans="2:21">
      <c r="B41" s="348">
        <f t="shared" si="4"/>
        <v>39</v>
      </c>
      <c r="C41" s="375" t="s">
        <v>375</v>
      </c>
      <c r="D41" s="349" t="s">
        <v>512</v>
      </c>
      <c r="F41" s="348">
        <f t="shared" si="5"/>
        <v>39</v>
      </c>
      <c r="G41" s="349" t="s">
        <v>512</v>
      </c>
      <c r="H41" s="369" t="s">
        <v>95</v>
      </c>
      <c r="J41" s="348">
        <f t="shared" si="6"/>
        <v>39</v>
      </c>
      <c r="K41" s="354" t="str" cm="1">
        <f t="array" aca="1" ref="K41" ca="1" xml:space="preserve"> INDIRECT(ADDRESS(2+$F41,COLUMN(G:G)))</f>
        <v>;</v>
      </c>
      <c r="L41" s="363" t="str" cm="1">
        <f t="array" aca="1" ref="L41" ca="1" xml:space="preserve"> IFERROR( INDEX($H$3:$H$54, MATCH(TRUE, EXACT($K41,$G$3:$G$54), 0)), "")</f>
        <v>ㄤ</v>
      </c>
      <c r="M41" s="362" t="str" cm="1">
        <f t="array" aca="1" ref="M41" ca="1" xml:space="preserve"> IFERROR( INDEX($C$3:$C$54, MATCH(TRUE, EXACT($K41,$D$3:$D$54), 0)), "")</f>
        <v>H</v>
      </c>
      <c r="N41" s="366" t="s">
        <v>96</v>
      </c>
      <c r="P41" s="348">
        <f t="shared" si="7"/>
        <v>39</v>
      </c>
      <c r="Q41" s="372" t="str">
        <f t="shared" ca="1" si="9"/>
        <v>;</v>
      </c>
      <c r="R41" s="374" t="str">
        <f t="shared" ca="1" si="10"/>
        <v>ㄤ</v>
      </c>
      <c r="S41" s="372" t="str">
        <f t="shared" ca="1" si="11"/>
        <v>H</v>
      </c>
      <c r="T41" s="370" t="str">
        <f t="shared" si="8"/>
        <v>ang</v>
      </c>
    </row>
    <row r="42" spans="2:21">
      <c r="B42" s="348">
        <f t="shared" si="4"/>
        <v>40</v>
      </c>
      <c r="C42" s="375" t="s">
        <v>439</v>
      </c>
      <c r="D42" s="349" t="s">
        <v>206</v>
      </c>
      <c r="F42" s="348">
        <f t="shared" si="5"/>
        <v>40</v>
      </c>
      <c r="G42" s="349" t="s">
        <v>206</v>
      </c>
      <c r="H42" s="369" t="s">
        <v>101</v>
      </c>
      <c r="J42" s="348">
        <f t="shared" si="6"/>
        <v>40</v>
      </c>
      <c r="K42" s="354" t="str" cm="1">
        <f t="array" aca="1" ref="K42" ca="1" xml:space="preserve"> INDIRECT(ADDRESS(2+$F42,COLUMN(G:G)))</f>
        <v>:</v>
      </c>
      <c r="L42" s="363" t="str" cm="1">
        <f t="array" aca="1" ref="L42" ca="1" xml:space="preserve"> IFERROR( INDEX($H$3:$H$54, MATCH(TRUE, EXACT($K42,$G$3:$G$54), 0)), "")</f>
        <v>ㆲ</v>
      </c>
      <c r="M42" s="362" t="str" cm="1">
        <f t="array" aca="1" ref="M42" ca="1" xml:space="preserve"> IFERROR( INDEX($C$3:$C$54, MATCH(TRUE, EXACT($K42,$D$3:$D$54), 0)), "")</f>
        <v>F</v>
      </c>
      <c r="N42" s="366" t="s">
        <v>102</v>
      </c>
      <c r="P42" s="348">
        <f t="shared" si="7"/>
        <v>40</v>
      </c>
      <c r="Q42" s="372" t="str">
        <f t="shared" ca="1" si="9"/>
        <v>:</v>
      </c>
      <c r="R42" s="374" t="str">
        <f t="shared" ca="1" si="10"/>
        <v>ㆲ</v>
      </c>
      <c r="S42" s="372" t="str">
        <f t="shared" ca="1" si="11"/>
        <v>F</v>
      </c>
      <c r="T42" s="370" t="str">
        <f t="shared" si="8"/>
        <v>ong</v>
      </c>
    </row>
    <row r="43" spans="2:21">
      <c r="B43" s="348">
        <f t="shared" si="4"/>
        <v>41</v>
      </c>
      <c r="C43" s="375" t="s">
        <v>559</v>
      </c>
      <c r="D43" s="349" t="s">
        <v>202</v>
      </c>
      <c r="F43" s="348">
        <f t="shared" si="5"/>
        <v>41</v>
      </c>
      <c r="G43" s="349" t="s">
        <v>202</v>
      </c>
      <c r="H43" s="369" t="s">
        <v>74</v>
      </c>
      <c r="J43" s="348">
        <f t="shared" si="6"/>
        <v>41</v>
      </c>
      <c r="K43" s="354" t="str" cm="1">
        <f t="array" aca="1" ref="K43" ca="1" xml:space="preserve"> INDIRECT(ADDRESS(2+$F43,COLUMN(G:G)))</f>
        <v>/</v>
      </c>
      <c r="L43" s="363" t="str" cm="1">
        <f t="array" aca="1" ref="L43" ca="1" xml:space="preserve"> IFERROR( INDEX($H$3:$H$54, MATCH(TRUE, EXACT($K43,$G$3:$G$54), 0)), "")</f>
        <v>ㆭ</v>
      </c>
      <c r="M43" s="362" t="str" cm="1">
        <f t="array" aca="1" ref="M43" ca="1" xml:space="preserve"> IFERROR( INDEX($C$3:$C$54, MATCH(TRUE, EXACT($K43,$D$3:$D$54), 0)), "")</f>
        <v>W</v>
      </c>
      <c r="N43" s="367" t="s">
        <v>75</v>
      </c>
      <c r="P43" s="348">
        <f t="shared" si="7"/>
        <v>41</v>
      </c>
      <c r="Q43" s="372" t="str">
        <f t="shared" ca="1" si="9"/>
        <v>/</v>
      </c>
      <c r="R43" s="374" t="str">
        <f t="shared" ca="1" si="10"/>
        <v>ㆭ</v>
      </c>
      <c r="S43" s="372" t="str">
        <f t="shared" ca="1" si="11"/>
        <v>W</v>
      </c>
      <c r="T43" s="370" t="str">
        <f t="shared" si="8"/>
        <v>-ng</v>
      </c>
    </row>
    <row r="44" spans="2:21">
      <c r="B44" s="348">
        <f t="shared" si="4"/>
        <v>42</v>
      </c>
      <c r="C44" s="375" t="s">
        <v>341</v>
      </c>
      <c r="D44" s="349" t="s">
        <v>429</v>
      </c>
      <c r="F44" s="348">
        <f t="shared" si="5"/>
        <v>42</v>
      </c>
      <c r="G44" s="349" t="s">
        <v>429</v>
      </c>
      <c r="H44" s="369" t="s">
        <v>87</v>
      </c>
      <c r="J44" s="348">
        <f t="shared" si="6"/>
        <v>42</v>
      </c>
      <c r="K44" s="354" t="str" cm="1">
        <f t="array" aca="1" ref="K44" ca="1" xml:space="preserve"> INDIRECT(ADDRESS(2+$F44,COLUMN(G:G)))</f>
        <v>?</v>
      </c>
      <c r="L44" s="363" t="str" cm="1">
        <f t="array" aca="1" ref="L44" ca="1" xml:space="preserve"> IFERROR( INDEX($H$3:$H$54, MATCH(TRUE, EXACT($K44,$G$3:$G$54), 0)), "")</f>
        <v>ㄫ</v>
      </c>
      <c r="M44" s="362" t="str" cm="1">
        <f t="array" aca="1" ref="M44" ca="1" xml:space="preserve"> IFERROR( INDEX($C$3:$C$54, MATCH(TRUE, EXACT($K44,$D$3:$D$54), 0)), "")</f>
        <v>w</v>
      </c>
      <c r="N44" s="366" t="s">
        <v>599</v>
      </c>
      <c r="P44" s="348">
        <f t="shared" si="7"/>
        <v>42</v>
      </c>
      <c r="Q44" s="372" t="str">
        <f t="shared" ca="1" si="9"/>
        <v>?</v>
      </c>
      <c r="R44" s="374" t="str">
        <f t="shared" ca="1" si="10"/>
        <v>ㄫ</v>
      </c>
      <c r="S44" s="372" t="str">
        <f t="shared" ca="1" si="11"/>
        <v>w</v>
      </c>
      <c r="T44" s="370" t="str">
        <f t="shared" si="8"/>
        <v>ng-</v>
      </c>
    </row>
    <row r="45" spans="2:21">
      <c r="B45" s="348">
        <f t="shared" si="4"/>
        <v>43</v>
      </c>
      <c r="C45" s="375" t="s">
        <v>560</v>
      </c>
      <c r="D45" s="349" t="s">
        <v>198</v>
      </c>
      <c r="F45" s="348">
        <f t="shared" si="5"/>
        <v>43</v>
      </c>
      <c r="G45" s="349" t="s">
        <v>198</v>
      </c>
      <c r="H45" s="369" t="s">
        <v>593</v>
      </c>
      <c r="J45" s="348">
        <f t="shared" si="6"/>
        <v>43</v>
      </c>
      <c r="K45" s="354" t="str" cm="1">
        <f t="array" aca="1" ref="K45" ca="1" xml:space="preserve"> INDIRECT(ADDRESS(2+$F45,COLUMN(G:G)))</f>
        <v>-</v>
      </c>
      <c r="L45" s="363" t="str" cm="1">
        <f t="array" aca="1" ref="L45" ca="1" xml:space="preserve"> IFERROR( INDEX($H$3:$H$54, MATCH(TRUE, EXACT($K45,$G$3:$G$54), 0)), "")</f>
        <v>ㆨ</v>
      </c>
      <c r="M45" s="362" t="str" cm="1">
        <f t="array" aca="1" ref="M45" ca="1" xml:space="preserve"> IFERROR( INDEX($C$3:$C$54, MATCH(TRUE, EXACT($K45,$D$3:$D$54), 0)), "")</f>
        <v>R</v>
      </c>
      <c r="N45" s="366" t="s">
        <v>600</v>
      </c>
      <c r="P45" s="348">
        <f t="shared" si="7"/>
        <v>43</v>
      </c>
      <c r="Q45" s="372" t="str">
        <f t="shared" ca="1" si="9"/>
        <v>-</v>
      </c>
      <c r="R45" s="374" t="str">
        <f t="shared" ca="1" si="10"/>
        <v>ㆨ</v>
      </c>
      <c r="S45" s="372" t="str">
        <f t="shared" ca="1" si="11"/>
        <v>R</v>
      </c>
      <c r="T45" s="370" t="str">
        <f t="shared" si="8"/>
        <v>ir</v>
      </c>
    </row>
    <row r="46" spans="2:21">
      <c r="B46" s="348">
        <f t="shared" si="4"/>
        <v>44</v>
      </c>
      <c r="C46" s="375" t="s">
        <v>444</v>
      </c>
      <c r="D46" s="349" t="s">
        <v>401</v>
      </c>
      <c r="F46" s="348">
        <f t="shared" si="5"/>
        <v>44</v>
      </c>
      <c r="G46" s="349" t="s">
        <v>401</v>
      </c>
      <c r="H46" s="369" t="s">
        <v>99</v>
      </c>
      <c r="J46" s="348">
        <f t="shared" si="6"/>
        <v>44</v>
      </c>
      <c r="K46" s="354" t="str" cm="1">
        <f t="array" aca="1" ref="K46" ca="1" xml:space="preserve"> INDIRECT(ADDRESS(2+$F46,COLUMN(G:G)))</f>
        <v>A</v>
      </c>
      <c r="L46" s="363" t="str" cm="1">
        <f t="array" aca="1" ref="L46" ca="1" xml:space="preserve"> IFERROR( INDEX($H$3:$H$54, MATCH(TRUE, EXACT($K46,$G$3:$G$54), 0)), "")</f>
        <v>ㆰ</v>
      </c>
      <c r="M46" s="362" t="str" cm="1">
        <f t="array" aca="1" ref="M46" ca="1" xml:space="preserve"> IFERROR( INDEX($C$3:$C$54, MATCH(TRUE, EXACT($K46,$D$3:$D$54), 0)), "")</f>
        <v>V</v>
      </c>
      <c r="N46" s="366" t="s">
        <v>100</v>
      </c>
      <c r="P46" s="348">
        <f t="shared" si="7"/>
        <v>44</v>
      </c>
      <c r="Q46" s="372" t="str">
        <f t="shared" ca="1" si="9"/>
        <v>A</v>
      </c>
      <c r="R46" s="374" t="str">
        <f t="shared" ca="1" si="10"/>
        <v>ㆰ</v>
      </c>
      <c r="S46" s="372" t="str">
        <f t="shared" ca="1" si="11"/>
        <v>V</v>
      </c>
      <c r="T46" s="370" t="str">
        <f t="shared" si="8"/>
        <v>am</v>
      </c>
    </row>
    <row r="47" spans="2:21">
      <c r="B47" s="348">
        <f t="shared" si="4"/>
        <v>45</v>
      </c>
      <c r="C47" s="375" t="s">
        <v>497</v>
      </c>
      <c r="D47" s="349" t="s">
        <v>69</v>
      </c>
      <c r="F47" s="348">
        <f t="shared" si="5"/>
        <v>45</v>
      </c>
      <c r="G47" s="349" t="s">
        <v>69</v>
      </c>
      <c r="H47" s="369" t="s">
        <v>125</v>
      </c>
      <c r="J47" s="348">
        <f t="shared" si="6"/>
        <v>45</v>
      </c>
      <c r="K47" s="354" t="str" cm="1">
        <f t="array" aca="1" ref="K47" ca="1" xml:space="preserve"> INDIRECT(ADDRESS(2+$F47,COLUMN(G:G)))</f>
        <v>O</v>
      </c>
      <c r="L47" s="363" t="str" cm="1">
        <f t="array" aca="1" ref="L47" ca="1" xml:space="preserve"> IFERROR( INDEX($H$3:$H$54, MATCH(TRUE, EXACT($K47,$G$3:$G$54), 0)), "")</f>
        <v>ㆱ</v>
      </c>
      <c r="M47" s="362" t="str" cm="1">
        <f t="array" aca="1" ref="M47" ca="1" xml:space="preserve"> IFERROR( INDEX($C$3:$C$54, MATCH(TRUE, EXACT($K47,$D$3:$D$54), 0)), "")</f>
        <v>L</v>
      </c>
      <c r="N47" s="366" t="s">
        <v>126</v>
      </c>
      <c r="P47" s="348">
        <f t="shared" si="7"/>
        <v>45</v>
      </c>
      <c r="Q47" s="372" t="str">
        <f t="shared" ca="1" si="9"/>
        <v>O</v>
      </c>
      <c r="R47" s="374" t="str">
        <f t="shared" ca="1" si="10"/>
        <v>ㆱ</v>
      </c>
      <c r="S47" s="372" t="str">
        <f t="shared" ca="1" si="11"/>
        <v>L</v>
      </c>
      <c r="T47" s="370" t="str">
        <f t="shared" si="8"/>
        <v>om</v>
      </c>
    </row>
    <row r="48" spans="2:21">
      <c r="B48" s="348">
        <f t="shared" si="4"/>
        <v>46</v>
      </c>
      <c r="C48" s="375" t="s">
        <v>571</v>
      </c>
      <c r="D48" s="349" t="s">
        <v>596</v>
      </c>
      <c r="F48" s="348">
        <f t="shared" si="5"/>
        <v>46</v>
      </c>
      <c r="G48" s="351" t="s">
        <v>596</v>
      </c>
      <c r="H48" s="369" t="s">
        <v>594</v>
      </c>
      <c r="I48" s="350"/>
      <c r="J48" s="348">
        <f t="shared" si="6"/>
        <v>46</v>
      </c>
      <c r="K48" s="354" t="str" cm="1">
        <f t="array" aca="1" ref="K48" ca="1" xml:space="preserve"> INDIRECT(ADDRESS(2+$F48,COLUMN(G:G)))</f>
        <v>.</v>
      </c>
      <c r="L48" s="363" t="str" cm="1">
        <f t="array" aca="1" ref="L48" ca="1" xml:space="preserve"> IFERROR( INDEX($H$3:$H$54, MATCH(TRUE, EXACT($K48,$G$3:$G$54), 0)), "")</f>
        <v>ｎ</v>
      </c>
      <c r="M48" s="362" t="str" cm="1">
        <f t="array" aca="1" ref="M48" ca="1" xml:space="preserve"> IFERROR( INDEX($C$3:$C$54, MATCH(TRUE, EXACT($K48,$D$3:$D$54), 0)), "")</f>
        <v>N</v>
      </c>
      <c r="N48" s="367" t="s">
        <v>601</v>
      </c>
      <c r="P48" s="348">
        <f t="shared" si="7"/>
        <v>46</v>
      </c>
      <c r="Q48" s="372" t="str">
        <f t="shared" ca="1" si="9"/>
        <v>.</v>
      </c>
      <c r="R48" s="374" t="str">
        <f t="shared" ca="1" si="10"/>
        <v>ｎ</v>
      </c>
      <c r="S48" s="372" t="str">
        <f t="shared" ca="1" si="11"/>
        <v>N</v>
      </c>
      <c r="T48" s="370" t="str">
        <f t="shared" si="8"/>
        <v>-nn</v>
      </c>
    </row>
    <row r="49" spans="2:20">
      <c r="B49" s="348">
        <f t="shared" si="4"/>
        <v>47</v>
      </c>
      <c r="C49" s="375" t="s">
        <v>361</v>
      </c>
      <c r="D49" s="349" t="str">
        <f xml:space="preserve"> CHAR(32)</f>
        <v xml:space="preserve"> </v>
      </c>
      <c r="E49" s="352" t="s">
        <v>592</v>
      </c>
      <c r="F49" s="348">
        <f t="shared" si="5"/>
        <v>47</v>
      </c>
      <c r="G49" s="349" t="str">
        <f xml:space="preserve"> CHAR(32)</f>
        <v xml:space="preserve"> </v>
      </c>
      <c r="H49" s="369" t="s">
        <v>532</v>
      </c>
      <c r="J49" s="348">
        <f t="shared" si="6"/>
        <v>47</v>
      </c>
      <c r="K49" s="354" t="str" cm="1">
        <f t="array" aca="1" ref="K49" ca="1" xml:space="preserve"> INDIRECT(ADDRESS(2+$F49,COLUMN(G:G)))</f>
        <v xml:space="preserve"> </v>
      </c>
      <c r="L49" s="363" t="str" cm="1">
        <f t="array" aca="1" ref="L49" ca="1" xml:space="preserve"> IFERROR( INDEX($H$3:$H$54, MATCH(TRUE, EXACT($K49,$G$3:$G$54), 0)), "")</f>
        <v>ˉ</v>
      </c>
      <c r="M49" s="362" t="str" cm="1">
        <f t="array" aca="1" ref="M49" ca="1" xml:space="preserve"> IFERROR( INDEX($C$3:$C$54, MATCH(TRUE, EXACT($K49,$D$3:$D$54), 0)), "")</f>
        <v>1</v>
      </c>
      <c r="N49" s="366">
        <v>1</v>
      </c>
      <c r="P49" s="348">
        <f t="shared" si="7"/>
        <v>47</v>
      </c>
      <c r="Q49" s="349" t="str">
        <f t="shared" ca="1" si="9"/>
        <v xml:space="preserve"> </v>
      </c>
      <c r="R49" s="374" t="str">
        <f t="shared" ca="1" si="10"/>
        <v>ˉ</v>
      </c>
      <c r="S49" s="372" t="str">
        <f t="shared" ca="1" si="11"/>
        <v>1</v>
      </c>
      <c r="T49" s="370">
        <f t="shared" si="8"/>
        <v>1</v>
      </c>
    </row>
    <row r="50" spans="2:20">
      <c r="B50" s="348">
        <f t="shared" si="4"/>
        <v>48</v>
      </c>
      <c r="C50" s="375" t="s">
        <v>347</v>
      </c>
      <c r="D50" s="349" t="s">
        <v>193</v>
      </c>
      <c r="F50" s="348">
        <f t="shared" si="5"/>
        <v>48</v>
      </c>
      <c r="G50" s="349" t="s">
        <v>193</v>
      </c>
      <c r="H50" s="369" t="s">
        <v>104</v>
      </c>
      <c r="J50" s="348">
        <f t="shared" si="6"/>
        <v>48</v>
      </c>
      <c r="K50" s="354" t="str" cm="1">
        <f t="array" aca="1" ref="K50" ca="1" xml:space="preserve"> INDIRECT(ADDRESS(2+$F50,COLUMN(G:G)))</f>
        <v>4</v>
      </c>
      <c r="L50" s="363" t="str" cm="1">
        <f t="array" aca="1" ref="L50" ca="1" xml:space="preserve"> IFERROR( INDEX($H$3:$H$54, MATCH(TRUE, EXACT($K50,$G$3:$G$54), 0)), "")</f>
        <v>ˋ</v>
      </c>
      <c r="M50" s="362" t="str" cm="1">
        <f t="array" aca="1" ref="M50" ca="1" xml:space="preserve"> IFERROR( INDEX($C$3:$C$54, MATCH(TRUE, EXACT($K50,$D$3:$D$54), 0)), "")</f>
        <v>2</v>
      </c>
      <c r="N50" s="366">
        <v>2</v>
      </c>
      <c r="P50" s="348">
        <f t="shared" si="7"/>
        <v>48</v>
      </c>
      <c r="Q50" s="372" t="str">
        <f t="shared" ca="1" si="9"/>
        <v>4</v>
      </c>
      <c r="R50" s="374" t="str">
        <f t="shared" ca="1" si="10"/>
        <v>ˋ</v>
      </c>
      <c r="S50" s="372" t="str">
        <f t="shared" ca="1" si="11"/>
        <v>2</v>
      </c>
      <c r="T50" s="370">
        <f t="shared" si="8"/>
        <v>2</v>
      </c>
    </row>
    <row r="51" spans="2:20">
      <c r="B51" s="348">
        <f t="shared" si="4"/>
        <v>49</v>
      </c>
      <c r="C51" s="375" t="s">
        <v>191</v>
      </c>
      <c r="D51" s="349" t="s">
        <v>191</v>
      </c>
      <c r="F51" s="348">
        <f t="shared" si="5"/>
        <v>49</v>
      </c>
      <c r="G51" s="351" t="s">
        <v>191</v>
      </c>
      <c r="H51" s="369" t="s">
        <v>105</v>
      </c>
      <c r="J51" s="348">
        <f t="shared" si="6"/>
        <v>49</v>
      </c>
      <c r="K51" s="354" t="str" cm="1">
        <f t="array" aca="1" ref="K51" ca="1" xml:space="preserve"> INDIRECT(ADDRESS(2+$F51,COLUMN(G:G)))</f>
        <v>3</v>
      </c>
      <c r="L51" s="363" t="str" cm="1">
        <f t="array" aca="1" ref="L51" ca="1" xml:space="preserve"> IFERROR( INDEX($H$3:$H$54, MATCH(TRUE, EXACT($K51,$G$3:$G$54), 0)), "")</f>
        <v>˪</v>
      </c>
      <c r="M51" s="362" t="str" cm="1">
        <f t="array" aca="1" ref="M51" ca="1" xml:space="preserve"> IFERROR( INDEX($C$3:$C$54, MATCH(TRUE, EXACT($K51,$D$3:$D$54), 0)), "")</f>
        <v>3</v>
      </c>
      <c r="N51" s="366">
        <v>3</v>
      </c>
      <c r="P51" s="348">
        <f t="shared" si="7"/>
        <v>49</v>
      </c>
      <c r="Q51" s="372" t="str">
        <f t="shared" ca="1" si="9"/>
        <v>3</v>
      </c>
      <c r="R51" s="374" t="str">
        <f t="shared" ca="1" si="10"/>
        <v>˪</v>
      </c>
      <c r="S51" s="372" t="str">
        <f t="shared" ca="1" si="11"/>
        <v>3</v>
      </c>
      <c r="T51" s="370">
        <f t="shared" si="8"/>
        <v>3</v>
      </c>
    </row>
    <row r="52" spans="2:20">
      <c r="B52" s="348">
        <f t="shared" si="4"/>
        <v>50</v>
      </c>
      <c r="C52" s="375" t="s">
        <v>170</v>
      </c>
      <c r="D52" s="351" t="s">
        <v>175</v>
      </c>
      <c r="F52" s="348">
        <f t="shared" si="5"/>
        <v>50</v>
      </c>
      <c r="G52" s="349" t="s">
        <v>175</v>
      </c>
      <c r="H52" s="368" t="s">
        <v>106</v>
      </c>
      <c r="J52" s="348">
        <f t="shared" si="6"/>
        <v>50</v>
      </c>
      <c r="K52" s="354" t="str" cm="1">
        <f t="array" aca="1" ref="K52" ca="1" xml:space="preserve"> INDIRECT(ADDRESS(2+$F52,COLUMN(G:G)))</f>
        <v>6</v>
      </c>
      <c r="L52" s="363" t="str" cm="1">
        <f t="array" aca="1" ref="L52" ca="1" xml:space="preserve"> IFERROR( INDEX($H$3:$H$54, MATCH(TRUE, EXACT($K52,$G$3:$G$54), 0)), "")</f>
        <v>ˊ</v>
      </c>
      <c r="M52" s="362" t="str" cm="1">
        <f t="array" aca="1" ref="M52" ca="1" xml:space="preserve"> IFERROR( INDEX($C$3:$C$54, MATCH(TRUE, EXACT($K52,$D$3:$D$54), 0)), "")</f>
        <v>5</v>
      </c>
      <c r="N52" s="366">
        <v>5</v>
      </c>
      <c r="P52" s="348">
        <f t="shared" si="7"/>
        <v>50</v>
      </c>
      <c r="Q52" s="372" t="str">
        <f t="shared" ca="1" si="9"/>
        <v>6</v>
      </c>
      <c r="R52" s="374" t="str">
        <f t="shared" ca="1" si="10"/>
        <v>ˊ</v>
      </c>
      <c r="S52" s="372" t="str">
        <f t="shared" ca="1" si="11"/>
        <v>5</v>
      </c>
      <c r="T52" s="370">
        <f t="shared" si="8"/>
        <v>5</v>
      </c>
    </row>
    <row r="53" spans="2:20">
      <c r="B53" s="348">
        <f t="shared" si="4"/>
        <v>51</v>
      </c>
      <c r="C53" s="375" t="s">
        <v>166</v>
      </c>
      <c r="D53" s="353" t="s">
        <v>170</v>
      </c>
      <c r="F53" s="348">
        <f t="shared" si="5"/>
        <v>51</v>
      </c>
      <c r="G53" s="353" t="s">
        <v>170</v>
      </c>
      <c r="H53" s="369" t="s">
        <v>107</v>
      </c>
      <c r="J53" s="348">
        <f t="shared" si="6"/>
        <v>51</v>
      </c>
      <c r="K53" s="354" t="str" cm="1">
        <f t="array" aca="1" ref="K53" ca="1" xml:space="preserve"> INDIRECT(ADDRESS(2+$F53,COLUMN(G:G)))</f>
        <v>5</v>
      </c>
      <c r="L53" s="363" t="str" cm="1">
        <f t="array" aca="1" ref="L53" ca="1" xml:space="preserve"> IFERROR( INDEX($H$3:$H$54, MATCH(TRUE, EXACT($K53,$G$3:$G$54), 0)), "")</f>
        <v>˫</v>
      </c>
      <c r="M53" s="362" t="str" cm="1">
        <f t="array" aca="1" ref="M53" ca="1" xml:space="preserve"> IFERROR( INDEX($C$3:$C$54, MATCH(TRUE, EXACT($K53,$D$3:$D$54), 0)), "")</f>
        <v>7</v>
      </c>
      <c r="N53" s="366">
        <v>7</v>
      </c>
      <c r="P53" s="348">
        <f t="shared" si="7"/>
        <v>51</v>
      </c>
      <c r="Q53" s="372" t="str">
        <f t="shared" ca="1" si="9"/>
        <v>5</v>
      </c>
      <c r="R53" s="374" t="str">
        <f t="shared" ca="1" si="10"/>
        <v>˫</v>
      </c>
      <c r="S53" s="372" t="str">
        <f t="shared" ca="1" si="11"/>
        <v>7</v>
      </c>
      <c r="T53" s="370">
        <f t="shared" si="8"/>
        <v>7</v>
      </c>
    </row>
    <row r="54" spans="2:20">
      <c r="B54" s="348">
        <f t="shared" si="4"/>
        <v>52</v>
      </c>
      <c r="C54" s="375" t="s">
        <v>219</v>
      </c>
      <c r="D54" s="349">
        <v>7</v>
      </c>
      <c r="F54" s="348">
        <f t="shared" si="5"/>
        <v>52</v>
      </c>
      <c r="G54" s="349" t="s">
        <v>166</v>
      </c>
      <c r="H54" s="369" t="s">
        <v>530</v>
      </c>
      <c r="J54" s="348">
        <f t="shared" si="6"/>
        <v>52</v>
      </c>
      <c r="K54" s="354" t="str" cm="1">
        <f t="array" aca="1" ref="K54" ca="1" xml:space="preserve"> INDIRECT(ADDRESS(2+$F54,COLUMN(G:G)))</f>
        <v>7</v>
      </c>
      <c r="L54" s="363" t="str" cm="1">
        <f t="array" aca="1" ref="L54" ca="1" xml:space="preserve"> IFERROR( INDEX($H$3:$H$54, MATCH(TRUE, EXACT($K54,$G$3:$G$54), 0)), "")</f>
        <v>．</v>
      </c>
      <c r="M54" s="362" t="str" cm="1">
        <f t="array" aca="1" ref="M54" ca="1" xml:space="preserve"> IFERROR( INDEX($C$3:$C$54, MATCH(TRUE, EXACT($K54,$D$3:$D$54), 0)), "")</f>
        <v>0</v>
      </c>
      <c r="N54" s="366" t="s">
        <v>610</v>
      </c>
      <c r="P54" s="348">
        <f t="shared" si="7"/>
        <v>52</v>
      </c>
      <c r="Q54" s="372" t="str">
        <f t="shared" ca="1" si="9"/>
        <v>7</v>
      </c>
      <c r="R54" s="374" t="str">
        <f t="shared" ca="1" si="10"/>
        <v>．</v>
      </c>
      <c r="S54" s="372" t="str">
        <f t="shared" ca="1" si="11"/>
        <v>0</v>
      </c>
      <c r="T54" s="370" t="str">
        <f t="shared" si="8"/>
        <v>[48]</v>
      </c>
    </row>
    <row r="55" spans="2:20">
      <c r="B55"/>
      <c r="F55"/>
    </row>
    <row r="56" spans="2:20">
      <c r="B56"/>
      <c r="F56"/>
    </row>
    <row r="57" spans="2:20">
      <c r="B57"/>
      <c r="F57"/>
    </row>
    <row r="58" spans="2:20">
      <c r="F58"/>
    </row>
    <row r="61" spans="2:20">
      <c r="C61" s="347"/>
      <c r="D61" s="347"/>
    </row>
    <row r="62" spans="2:20">
      <c r="C62" s="347"/>
      <c r="D62" s="347"/>
    </row>
    <row r="63" spans="2:20">
      <c r="C63" s="347"/>
      <c r="D63" s="347"/>
    </row>
    <row r="64" spans="2:20">
      <c r="C64" s="347"/>
      <c r="D64" s="347"/>
    </row>
    <row r="65" spans="3:4">
      <c r="C65" s="347"/>
      <c r="D65" s="347"/>
    </row>
    <row r="66" spans="3:4">
      <c r="C66" s="347"/>
      <c r="D66" s="347"/>
    </row>
    <row r="67" spans="3:4">
      <c r="C67" s="347"/>
      <c r="D67" s="347"/>
    </row>
    <row r="68" spans="3:4">
      <c r="C68" s="347"/>
      <c r="D68" s="347"/>
    </row>
    <row r="69" spans="3:4">
      <c r="C69" s="347"/>
      <c r="D69" s="347"/>
    </row>
    <row r="70" spans="3:4">
      <c r="C70" s="347"/>
      <c r="D70" s="347"/>
    </row>
    <row r="71" spans="3:4">
      <c r="C71" s="347"/>
      <c r="D71" s="347"/>
    </row>
    <row r="72" spans="3:4">
      <c r="C72" s="347"/>
      <c r="D72" s="347"/>
    </row>
    <row r="73" spans="3:4">
      <c r="C73" s="347"/>
      <c r="D73" s="347"/>
    </row>
    <row r="74" spans="3:4">
      <c r="C74" s="347"/>
      <c r="D74" s="347"/>
    </row>
    <row r="75" spans="3:4">
      <c r="C75" s="347"/>
      <c r="D75" s="347"/>
    </row>
    <row r="76" spans="3:4">
      <c r="C76" s="347"/>
      <c r="D76" s="347"/>
    </row>
    <row r="77" spans="3:4">
      <c r="C77" s="347"/>
      <c r="D77" s="347"/>
    </row>
    <row r="78" spans="3:4">
      <c r="C78" s="347"/>
      <c r="D78" s="347"/>
    </row>
    <row r="79" spans="3:4">
      <c r="C79" s="347"/>
      <c r="D79" s="347"/>
    </row>
    <row r="80" spans="3:4">
      <c r="C80" s="347"/>
      <c r="D80" s="347"/>
    </row>
    <row r="81" spans="3:4">
      <c r="C81" s="347"/>
      <c r="D81" s="347"/>
    </row>
    <row r="82" spans="3:4">
      <c r="C82" s="347"/>
      <c r="D82" s="347"/>
    </row>
    <row r="83" spans="3:4">
      <c r="C83" s="347"/>
      <c r="D83" s="347"/>
    </row>
    <row r="84" spans="3:4">
      <c r="C84" s="347"/>
      <c r="D84" s="347"/>
    </row>
    <row r="85" spans="3:4">
      <c r="C85" s="347"/>
      <c r="D85" s="347"/>
    </row>
    <row r="86" spans="3:4">
      <c r="C86" s="347"/>
      <c r="D86" s="347"/>
    </row>
    <row r="87" spans="3:4">
      <c r="C87" s="347"/>
      <c r="D87" s="347"/>
    </row>
    <row r="88" spans="3:4">
      <c r="C88" s="347"/>
      <c r="D88" s="347"/>
    </row>
    <row r="89" spans="3:4">
      <c r="C89" s="347"/>
      <c r="D89" s="347"/>
    </row>
    <row r="90" spans="3:4">
      <c r="C90" s="347"/>
      <c r="D90" s="347"/>
    </row>
    <row r="91" spans="3:4">
      <c r="C91" s="347"/>
      <c r="D91" s="347"/>
    </row>
    <row r="92" spans="3:4">
      <c r="C92" s="347"/>
      <c r="D92" s="347"/>
    </row>
    <row r="93" spans="3:4">
      <c r="C93" s="347"/>
      <c r="D93" s="347"/>
    </row>
    <row r="94" spans="3:4">
      <c r="C94" s="347"/>
      <c r="D94" s="347"/>
    </row>
    <row r="95" spans="3:4">
      <c r="C95" s="347"/>
      <c r="D95" s="347"/>
    </row>
    <row r="96" spans="3:4">
      <c r="C96" s="347"/>
      <c r="D96" s="347"/>
    </row>
    <row r="97" spans="3:4">
      <c r="C97" s="347"/>
      <c r="D97" s="347"/>
    </row>
    <row r="98" spans="3:4">
      <c r="C98" s="347"/>
      <c r="D98" s="347"/>
    </row>
    <row r="99" spans="3:4">
      <c r="C99" s="347"/>
      <c r="D99" s="347"/>
    </row>
    <row r="100" spans="3:4">
      <c r="C100" s="347"/>
      <c r="D100" s="347"/>
    </row>
    <row r="101" spans="3:4">
      <c r="C101" s="347"/>
      <c r="D101" s="347"/>
    </row>
    <row r="102" spans="3:4">
      <c r="C102" s="347"/>
      <c r="D102" s="347"/>
    </row>
    <row r="103" spans="3:4">
      <c r="C103" s="347"/>
      <c r="D103" s="347"/>
    </row>
    <row r="104" spans="3:4">
      <c r="C104" s="347"/>
      <c r="D104" s="347"/>
    </row>
    <row r="105" spans="3:4">
      <c r="C105" s="347"/>
      <c r="D105" s="347"/>
    </row>
    <row r="106" spans="3:4">
      <c r="C106" s="347"/>
      <c r="D106" s="347"/>
    </row>
    <row r="107" spans="3:4">
      <c r="C107" s="347"/>
      <c r="D107" s="347"/>
    </row>
    <row r="108" spans="3:4">
      <c r="C108" s="347"/>
      <c r="D108" s="347"/>
    </row>
    <row r="109" spans="3:4">
      <c r="C109" s="347"/>
      <c r="D109" s="347"/>
    </row>
    <row r="110" spans="3:4">
      <c r="C110" s="347"/>
      <c r="D110" s="347"/>
    </row>
    <row r="111" spans="3:4">
      <c r="C111" s="347"/>
      <c r="D111" s="347"/>
    </row>
    <row r="112" spans="3:4">
      <c r="C112" s="347"/>
      <c r="D112" s="347"/>
    </row>
    <row r="113" spans="3:4">
      <c r="C113" s="347"/>
      <c r="D113" s="347"/>
    </row>
    <row r="114" spans="3:4">
      <c r="C114" s="347"/>
      <c r="D114" s="347"/>
    </row>
    <row r="115" spans="3:4">
      <c r="C115" s="347"/>
      <c r="D115" s="347"/>
    </row>
    <row r="116" spans="3:4">
      <c r="C116" s="347"/>
      <c r="D116" s="347"/>
    </row>
  </sheetData>
  <autoFilter ref="P2:T54" xr:uid="{5071FD87-44AE-4789-9C3B-6156A4BF1897}"/>
  <phoneticPr fontId="9" type="noConversion"/>
  <conditionalFormatting sqref="D3:D54 G3:G54 K3:L54 Q3:R54">
    <cfRule type="cellIs" dxfId="0" priority="1" operator="equal">
      <formula xml:space="preserve"> CHAR(32)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K69"/>
  <sheetViews>
    <sheetView showGridLines="0" zoomScale="50" zoomScaleNormal="50" workbookViewId="0">
      <selection activeCell="AX19" sqref="AX19"/>
    </sheetView>
  </sheetViews>
  <sheetFormatPr defaultColWidth="7.19921875" defaultRowHeight="27.75"/>
  <cols>
    <col min="1" max="55" width="6.59765625" style="145" customWidth="1"/>
    <col min="56" max="59" width="5.796875" style="145" customWidth="1"/>
    <col min="60" max="61" width="7.19921875" style="145"/>
    <col min="62" max="62" width="3.8984375" style="145" customWidth="1"/>
    <col min="63" max="63" width="12.5" style="145" customWidth="1"/>
    <col min="64" max="65" width="12.5" style="235" customWidth="1"/>
    <col min="66" max="68" width="12.5" style="145" customWidth="1"/>
    <col min="69" max="69" width="7.19921875" style="145"/>
    <col min="70" max="70" width="27.296875" style="236" customWidth="1"/>
    <col min="71" max="71" width="7.19921875" style="145"/>
    <col min="72" max="72" width="7.19921875" style="237"/>
    <col min="73" max="73" width="23.796875" style="238" bestFit="1" customWidth="1"/>
    <col min="75" max="75" width="23.796875" style="238" bestFit="1" customWidth="1"/>
    <col min="78" max="16384" width="7.19921875" style="145"/>
  </cols>
  <sheetData>
    <row r="1" spans="1:75" ht="45" customHeight="1" thickBot="1">
      <c r="A1" s="233"/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  <c r="M1" s="233"/>
      <c r="N1" s="233"/>
      <c r="O1" s="233"/>
      <c r="P1" s="233"/>
      <c r="Q1" s="233"/>
      <c r="R1" s="233"/>
      <c r="S1" s="233"/>
      <c r="T1" s="233"/>
      <c r="U1" s="233"/>
      <c r="V1" s="233"/>
      <c r="W1" s="233"/>
      <c r="X1" s="233"/>
      <c r="Y1" s="233"/>
      <c r="Z1" s="233"/>
      <c r="AA1" s="233"/>
      <c r="AB1" s="233"/>
      <c r="AC1" s="233"/>
      <c r="AD1" s="233"/>
      <c r="AE1" s="233"/>
      <c r="AF1" s="233"/>
      <c r="AG1" s="233"/>
      <c r="AH1" s="233"/>
      <c r="AI1" s="233"/>
      <c r="AJ1" s="233"/>
      <c r="AK1" s="233"/>
      <c r="AL1" s="233"/>
      <c r="AM1" s="233"/>
      <c r="AN1" s="233"/>
      <c r="AO1" s="233"/>
      <c r="AP1" s="233"/>
      <c r="AQ1" s="233"/>
      <c r="AR1" s="234"/>
      <c r="AS1" s="234"/>
      <c r="AT1" s="233"/>
      <c r="AU1" s="233"/>
      <c r="AV1" s="233"/>
    </row>
    <row r="2" spans="1:75" s="147" customFormat="1" ht="45" customHeight="1">
      <c r="A2" s="239"/>
      <c r="B2" s="476" t="s">
        <v>539</v>
      </c>
      <c r="C2" s="477"/>
      <c r="D2" s="478"/>
      <c r="E2" s="476" t="s">
        <v>540</v>
      </c>
      <c r="F2" s="477"/>
      <c r="G2" s="478"/>
      <c r="H2" s="485" t="s">
        <v>541</v>
      </c>
      <c r="I2" s="486"/>
      <c r="J2" s="487"/>
      <c r="K2" s="485" t="s">
        <v>542</v>
      </c>
      <c r="L2" s="486"/>
      <c r="M2" s="487"/>
      <c r="N2" s="488">
        <v>0.05</v>
      </c>
      <c r="O2" s="489"/>
      <c r="P2" s="490"/>
      <c r="Q2" s="485" t="s">
        <v>543</v>
      </c>
      <c r="R2" s="486"/>
      <c r="S2" s="487"/>
      <c r="T2" s="485" t="s">
        <v>544</v>
      </c>
      <c r="U2" s="486"/>
      <c r="V2" s="487"/>
      <c r="W2" s="470" t="s">
        <v>545</v>
      </c>
      <c r="X2" s="471"/>
      <c r="Y2" s="472"/>
      <c r="Z2" s="470" t="s">
        <v>546</v>
      </c>
      <c r="AA2" s="471"/>
      <c r="AB2" s="472"/>
      <c r="AC2" s="470" t="s">
        <v>547</v>
      </c>
      <c r="AD2" s="471"/>
      <c r="AE2" s="472"/>
      <c r="AF2" s="473" t="s">
        <v>548</v>
      </c>
      <c r="AG2" s="474"/>
      <c r="AH2" s="475"/>
      <c r="AI2" s="473" t="s">
        <v>549</v>
      </c>
      <c r="AJ2" s="474"/>
      <c r="AK2" s="475"/>
      <c r="AL2" s="239"/>
      <c r="AM2" s="239"/>
      <c r="AN2" s="239"/>
      <c r="AO2" s="239"/>
      <c r="AP2" s="239"/>
      <c r="AQ2" s="239"/>
      <c r="AR2" s="240"/>
      <c r="AS2" s="240"/>
      <c r="AT2" s="239"/>
      <c r="AU2" s="239"/>
      <c r="AV2" s="239"/>
      <c r="BJ2" s="6" t="s">
        <v>550</v>
      </c>
      <c r="BK2" s="11"/>
      <c r="BL2" s="241"/>
      <c r="BM2" s="241"/>
      <c r="BN2" s="145"/>
      <c r="BO2" s="11"/>
      <c r="BP2" s="11"/>
      <c r="BR2" s="236"/>
      <c r="BT2" s="242"/>
      <c r="BU2" s="243"/>
      <c r="BW2" s="243"/>
    </row>
    <row r="3" spans="1:75" s="147" customFormat="1" ht="45" customHeight="1">
      <c r="A3" s="239"/>
      <c r="B3" s="244" t="str">
        <f ca="1">E19</f>
        <v>ㆠ</v>
      </c>
      <c r="C3" s="245"/>
      <c r="D3" s="246" t="s">
        <v>551</v>
      </c>
      <c r="E3" s="247"/>
      <c r="F3" s="245"/>
      <c r="G3" s="248"/>
      <c r="H3" s="249"/>
      <c r="I3" s="250"/>
      <c r="J3" s="251"/>
      <c r="K3" s="249"/>
      <c r="L3" s="250"/>
      <c r="M3" s="251"/>
      <c r="N3" s="252"/>
      <c r="O3" s="253"/>
      <c r="P3" s="254"/>
      <c r="Q3" s="249"/>
      <c r="R3" s="250"/>
      <c r="S3" s="251"/>
      <c r="T3" s="249"/>
      <c r="U3" s="250"/>
      <c r="V3" s="251"/>
      <c r="W3" s="255" t="str">
        <f ca="1">AD18</f>
        <v>ㄥㄚ</v>
      </c>
      <c r="X3" s="256"/>
      <c r="Y3" s="257" t="str">
        <f ca="1">AD20</f>
        <v>Na</v>
      </c>
      <c r="Z3" s="255" t="str">
        <f ca="1">AL18</f>
        <v>ㄥㄞ</v>
      </c>
      <c r="AA3" s="256"/>
      <c r="AB3" s="257" t="str">
        <f ca="1">AL20</f>
        <v>Nai</v>
      </c>
      <c r="AC3" s="258"/>
      <c r="AD3" s="256"/>
      <c r="AE3" s="259"/>
      <c r="AF3" s="260"/>
      <c r="AG3" s="261"/>
      <c r="AH3" s="262"/>
      <c r="AI3" s="260"/>
      <c r="AJ3" s="261"/>
      <c r="AK3" s="262"/>
      <c r="AL3" s="239"/>
      <c r="AM3" s="239"/>
      <c r="AN3" s="239"/>
      <c r="AO3" s="239"/>
      <c r="AP3" s="239"/>
      <c r="AQ3" s="239"/>
      <c r="AR3" s="240"/>
      <c r="AS3" s="240"/>
      <c r="AT3" s="239"/>
      <c r="AU3" s="239"/>
      <c r="AV3" s="239"/>
      <c r="BJ3" s="2"/>
      <c r="BK3" s="263" t="s">
        <v>342</v>
      </c>
      <c r="BL3" s="264" t="s">
        <v>385</v>
      </c>
      <c r="BM3" s="264" t="s">
        <v>386</v>
      </c>
      <c r="BN3" s="265" t="s">
        <v>387</v>
      </c>
      <c r="BO3" s="266" t="s">
        <v>388</v>
      </c>
      <c r="BP3" s="153"/>
      <c r="BR3" s="236"/>
      <c r="BT3" s="242"/>
      <c r="BU3" s="243"/>
      <c r="BW3" s="243"/>
    </row>
    <row r="4" spans="1:75" ht="45" customHeight="1" thickBot="1">
      <c r="A4" s="267"/>
      <c r="B4" s="268" t="str">
        <f ca="1">D19</f>
        <v>ㄅ</v>
      </c>
      <c r="C4" s="269"/>
      <c r="D4" s="270" t="s">
        <v>21</v>
      </c>
      <c r="E4" s="268" t="str">
        <f ca="1">H19</f>
        <v>ㄉ</v>
      </c>
      <c r="F4" s="269"/>
      <c r="G4" s="271" t="s">
        <v>30</v>
      </c>
      <c r="H4" s="481" t="s">
        <v>105</v>
      </c>
      <c r="I4" s="482"/>
      <c r="J4" s="272" t="s">
        <v>552</v>
      </c>
      <c r="K4" s="483" t="s">
        <v>104</v>
      </c>
      <c r="L4" s="484"/>
      <c r="M4" s="272" t="s">
        <v>553</v>
      </c>
      <c r="N4" s="481" t="s">
        <v>107</v>
      </c>
      <c r="O4" s="482"/>
      <c r="P4" s="272" t="s">
        <v>554</v>
      </c>
      <c r="Q4" s="483" t="s">
        <v>106</v>
      </c>
      <c r="R4" s="484"/>
      <c r="S4" s="272" t="s">
        <v>555</v>
      </c>
      <c r="T4" s="481" t="s">
        <v>556</v>
      </c>
      <c r="U4" s="482"/>
      <c r="V4" s="272" t="s">
        <v>557</v>
      </c>
      <c r="W4" s="273" t="str">
        <f ca="1">AC19</f>
        <v>ㄚ</v>
      </c>
      <c r="X4" s="274"/>
      <c r="Y4" s="275" t="str">
        <f ca="1">AC20</f>
        <v>a</v>
      </c>
      <c r="Z4" s="273" t="str">
        <f ca="1">AK19</f>
        <v>ㄞ</v>
      </c>
      <c r="AA4" s="276"/>
      <c r="AB4" s="277" t="str">
        <f ca="1">AK20</f>
        <v>ai</v>
      </c>
      <c r="AC4" s="273" t="str">
        <f ca="1">AJ19</f>
        <v>ㄢ</v>
      </c>
      <c r="AD4" s="274"/>
      <c r="AE4" s="275" t="str">
        <f ca="1">AJ20</f>
        <v>an</v>
      </c>
      <c r="AF4" s="278" t="str">
        <f ca="1">AW18</f>
        <v>鼻</v>
      </c>
      <c r="AG4" s="276"/>
      <c r="AH4" s="277" t="str">
        <f ca="1">AW20</f>
        <v>N</v>
      </c>
      <c r="AI4" s="479"/>
      <c r="AJ4" s="480"/>
      <c r="AK4" s="279"/>
      <c r="AL4" s="267"/>
      <c r="AM4" s="267"/>
      <c r="AN4" s="267"/>
      <c r="AO4" s="267"/>
      <c r="AP4" s="267"/>
      <c r="AQ4" s="267"/>
      <c r="AR4" s="234"/>
      <c r="AS4" s="234"/>
      <c r="AT4" s="267"/>
      <c r="AU4" s="267"/>
      <c r="AV4" s="267"/>
      <c r="BJ4" s="280">
        <f t="shared" ref="BJ4:BJ62" si="0" xml:space="preserve"> ROW() - 3</f>
        <v>1</v>
      </c>
      <c r="BK4" s="71">
        <f>'注音符號、電腦鍵盤與音標編碼'!C5</f>
        <v>1</v>
      </c>
      <c r="BL4" s="32" t="str">
        <f>'注音符號、電腦鍵盤與音標編碼'!D5</f>
        <v>ㄅ</v>
      </c>
      <c r="BM4" s="178" t="str">
        <f>'注音符號、電腦鍵盤與音標編碼'!E5</f>
        <v>ㄅ</v>
      </c>
      <c r="BN4" s="34" t="str">
        <f>'注音符號、電腦鍵盤與音標編碼'!F5</f>
        <v>p</v>
      </c>
      <c r="BO4" s="107" t="str">
        <f>'注音符號、電腦鍵盤與音標編碼'!G5</f>
        <v>p</v>
      </c>
      <c r="BP4" s="107"/>
      <c r="BR4" s="281" t="str">
        <f t="shared" ref="BR4:BR55" si="1" xml:space="preserve"> """" &amp; BK4 &amp; """: { commit: """ &amp; BL4 &amp; """ }"</f>
        <v>"1": { commit: "ㄅ" }</v>
      </c>
      <c r="BT4" s="242">
        <f t="shared" ref="BT4:BT22" si="2">BJ4</f>
        <v>1</v>
      </c>
      <c r="BU4" s="282" t="str">
        <f xml:space="preserve"> "- xform/" &amp; BN4 &amp; "/" &amp; BK4 &amp; "/"</f>
        <v>- xform/p/1/</v>
      </c>
      <c r="BW4" s="282" t="str">
        <f xml:space="preserve"> "- xform/" &amp; BK4 &amp; "/" &amp; BL4 &amp; "/"</f>
        <v>- xform/1/ㄅ/</v>
      </c>
    </row>
    <row r="5" spans="1:75" s="147" customFormat="1" ht="45" customHeight="1">
      <c r="A5" s="239"/>
      <c r="B5" s="239"/>
      <c r="C5" s="476" t="s">
        <v>558</v>
      </c>
      <c r="D5" s="477"/>
      <c r="E5" s="478"/>
      <c r="F5" s="476" t="s">
        <v>559</v>
      </c>
      <c r="G5" s="477"/>
      <c r="H5" s="478"/>
      <c r="I5" s="476" t="s">
        <v>322</v>
      </c>
      <c r="J5" s="477"/>
      <c r="K5" s="478"/>
      <c r="L5" s="476" t="s">
        <v>560</v>
      </c>
      <c r="M5" s="477"/>
      <c r="N5" s="478"/>
      <c r="O5" s="476" t="s">
        <v>408</v>
      </c>
      <c r="P5" s="477"/>
      <c r="Q5" s="478"/>
      <c r="R5" s="476" t="s">
        <v>447</v>
      </c>
      <c r="S5" s="477"/>
      <c r="T5" s="478"/>
      <c r="U5" s="470" t="s">
        <v>259</v>
      </c>
      <c r="V5" s="471"/>
      <c r="W5" s="472"/>
      <c r="X5" s="470" t="s">
        <v>275</v>
      </c>
      <c r="Y5" s="471"/>
      <c r="Z5" s="472"/>
      <c r="AA5" s="470" t="s">
        <v>267</v>
      </c>
      <c r="AB5" s="471"/>
      <c r="AC5" s="472"/>
      <c r="AD5" s="470" t="s">
        <v>400</v>
      </c>
      <c r="AE5" s="471"/>
      <c r="AF5" s="472"/>
      <c r="AG5" s="470" t="s">
        <v>561</v>
      </c>
      <c r="AH5" s="471"/>
      <c r="AI5" s="472"/>
      <c r="AJ5" s="470" t="s">
        <v>562</v>
      </c>
      <c r="AK5" s="471"/>
      <c r="AL5" s="472"/>
      <c r="AM5" s="473" t="s">
        <v>563</v>
      </c>
      <c r="AN5" s="474"/>
      <c r="AO5" s="475"/>
      <c r="AP5" s="239"/>
      <c r="AQ5" s="239"/>
      <c r="AR5" s="240"/>
      <c r="AS5" s="240"/>
      <c r="AT5" s="239"/>
      <c r="AU5" s="239"/>
      <c r="AV5" s="239"/>
      <c r="BJ5" s="280">
        <f t="shared" si="0"/>
        <v>2</v>
      </c>
      <c r="BK5" s="71" t="str">
        <f>'注音符號、電腦鍵盤與音標編碼'!C6</f>
        <v>!</v>
      </c>
      <c r="BL5" s="32" t="str">
        <f>'注音符號、電腦鍵盤與音標編碼'!D6</f>
        <v>ㄅㄏ</v>
      </c>
      <c r="BM5" s="178" t="str">
        <f>'注音符號、電腦鍵盤與音標編碼'!E6</f>
        <v>ㆠ</v>
      </c>
      <c r="BN5" s="34" t="str">
        <f>'注音符號、電腦鍵盤與音標編碼'!F6</f>
        <v>b</v>
      </c>
      <c r="BO5" s="107" t="str">
        <f>'注音符號、電腦鍵盤與音標編碼'!G6</f>
        <v>b</v>
      </c>
      <c r="BP5" s="107"/>
      <c r="BR5" s="281" t="str">
        <f t="shared" si="1"/>
        <v>"!": { commit: "ㄅㄏ" }</v>
      </c>
      <c r="BT5" s="242">
        <f t="shared" si="2"/>
        <v>2</v>
      </c>
      <c r="BU5" s="282" t="str">
        <f t="shared" ref="BU5:BU55" si="3" xml:space="preserve"> "- xform/" &amp; BN5 &amp; "/" &amp; BK5 &amp; "/"</f>
        <v>- xform/b/!/</v>
      </c>
      <c r="BW5" s="282" t="str">
        <f t="shared" ref="BW5:BW55" si="4" xml:space="preserve"> "- xform/" &amp; BK5 &amp; "/" &amp; BL5 &amp; "/"</f>
        <v>- xform/!/ㄅㄏ/</v>
      </c>
    </row>
    <row r="6" spans="1:75" s="147" customFormat="1" ht="45" customHeight="1">
      <c r="A6" s="239"/>
      <c r="B6" s="239"/>
      <c r="C6" s="247"/>
      <c r="D6" s="245"/>
      <c r="E6" s="248"/>
      <c r="F6" s="247"/>
      <c r="G6" s="245"/>
      <c r="H6" s="248"/>
      <c r="I6" s="244" t="str">
        <f ca="1">M19</f>
        <v>ㆣ</v>
      </c>
      <c r="J6" s="245"/>
      <c r="K6" s="248" t="s">
        <v>564</v>
      </c>
      <c r="L6" s="283"/>
      <c r="M6" s="245"/>
      <c r="N6" s="284"/>
      <c r="O6" s="247"/>
      <c r="P6" s="245"/>
      <c r="Q6" s="248"/>
      <c r="R6" s="283" t="str">
        <f ca="1">T18</f>
        <v>ㄐ</v>
      </c>
      <c r="S6" s="245"/>
      <c r="T6" s="284" t="str">
        <f ca="1">T20</f>
        <v>zi-</v>
      </c>
      <c r="U6" s="255" t="str">
        <f ca="1">Z18</f>
        <v>ㄥㄧ</v>
      </c>
      <c r="V6" s="256"/>
      <c r="W6" s="257" t="str">
        <f ca="1">Z20</f>
        <v>Ni</v>
      </c>
      <c r="X6" s="255" t="str">
        <f ca="1">AH18</f>
        <v>ㄥㆦ</v>
      </c>
      <c r="Y6" s="256"/>
      <c r="Z6" s="257" t="str">
        <f ca="1">AH20</f>
        <v>Noo</v>
      </c>
      <c r="AA6" s="255" t="str">
        <f ca="1">AO18</f>
        <v>ㄛㄇ</v>
      </c>
      <c r="AB6" s="256"/>
      <c r="AC6" s="257" t="str">
        <f ca="1">AO20</f>
        <v>om</v>
      </c>
      <c r="AD6" s="258"/>
      <c r="AE6" s="256"/>
      <c r="AF6" s="259"/>
      <c r="AG6" s="258"/>
      <c r="AH6" s="256"/>
      <c r="AI6" s="259"/>
      <c r="AJ6" s="258"/>
      <c r="AK6" s="256"/>
      <c r="AL6" s="259"/>
      <c r="AM6" s="260"/>
      <c r="AN6" s="261"/>
      <c r="AO6" s="262"/>
      <c r="AP6" s="239"/>
      <c r="AQ6" s="239"/>
      <c r="AR6" s="240"/>
      <c r="AS6" s="240"/>
      <c r="AT6" s="239"/>
      <c r="AU6" s="239"/>
      <c r="AV6" s="239"/>
      <c r="BJ6" s="280">
        <f t="shared" si="0"/>
        <v>3</v>
      </c>
      <c r="BK6" s="71" t="str">
        <f>'注音符號、電腦鍵盤與音標編碼'!C7</f>
        <v>q</v>
      </c>
      <c r="BL6" s="32" t="str">
        <f>'注音符號、電腦鍵盤與音標編碼'!D7</f>
        <v>ㄆ</v>
      </c>
      <c r="BM6" s="178" t="str">
        <f>'注音符號、電腦鍵盤與音標編碼'!E7</f>
        <v>ㄆ</v>
      </c>
      <c r="BN6" s="34" t="str">
        <f>'注音符號、電腦鍵盤與音標編碼'!F7</f>
        <v>P</v>
      </c>
      <c r="BO6" s="107" t="str">
        <f>'注音符號、電腦鍵盤與音標編碼'!G7</f>
        <v>ph</v>
      </c>
      <c r="BP6" s="107"/>
      <c r="BR6" s="281" t="str">
        <f t="shared" si="1"/>
        <v>"q": { commit: "ㄆ" }</v>
      </c>
      <c r="BT6" s="242">
        <f t="shared" si="2"/>
        <v>3</v>
      </c>
      <c r="BU6" s="282" t="str">
        <f t="shared" si="3"/>
        <v>- xform/P/q/</v>
      </c>
      <c r="BW6" s="282" t="str">
        <f t="shared" si="4"/>
        <v>- xform/q/ㄆ/</v>
      </c>
    </row>
    <row r="7" spans="1:75" ht="45" customHeight="1" thickBot="1">
      <c r="A7" s="267"/>
      <c r="B7" s="267"/>
      <c r="C7" s="268" t="str">
        <f ca="1">F19</f>
        <v>ㄆ</v>
      </c>
      <c r="D7" s="269"/>
      <c r="E7" s="271" t="s">
        <v>392</v>
      </c>
      <c r="F7" s="268" t="str">
        <f ca="1">I19</f>
        <v>ㄊ</v>
      </c>
      <c r="G7" s="269"/>
      <c r="H7" s="271" t="s">
        <v>32</v>
      </c>
      <c r="I7" s="268" t="str">
        <f ca="1">L19</f>
        <v>ㄍ</v>
      </c>
      <c r="J7" s="269"/>
      <c r="K7" s="270" t="s">
        <v>565</v>
      </c>
      <c r="L7" s="285"/>
      <c r="M7" s="269"/>
      <c r="N7" s="286"/>
      <c r="O7" s="285"/>
      <c r="P7" s="269"/>
      <c r="Q7" s="287"/>
      <c r="R7" s="285" t="str">
        <f ca="1">P19</f>
        <v>ㄗ</v>
      </c>
      <c r="S7" s="269"/>
      <c r="T7" s="288" t="str">
        <f ca="1">P20</f>
        <v>z</v>
      </c>
      <c r="U7" s="273" t="str">
        <f ca="1">Y19</f>
        <v>ㄧ</v>
      </c>
      <c r="V7" s="274"/>
      <c r="W7" s="277" t="str">
        <f ca="1">Y20</f>
        <v>i</v>
      </c>
      <c r="X7" s="273" t="str">
        <f ca="1">AG19</f>
        <v>ㆦ</v>
      </c>
      <c r="Y7" s="274"/>
      <c r="Z7" s="277" t="str">
        <f ca="1">AG20</f>
        <v>oo</v>
      </c>
      <c r="AA7" s="273" t="str">
        <f ca="1">AS19</f>
        <v>ㆨ</v>
      </c>
      <c r="AB7" s="274"/>
      <c r="AC7" s="275" t="str">
        <f ca="1">AS20</f>
        <v>ir</v>
      </c>
      <c r="AD7" s="273" t="str">
        <f ca="1">AV19</f>
        <v>ㄣ</v>
      </c>
      <c r="AE7" s="276"/>
      <c r="AF7" s="277" t="str">
        <f ca="1">AV20</f>
        <v>n</v>
      </c>
      <c r="AG7" s="479"/>
      <c r="AH7" s="480"/>
      <c r="AI7" s="279"/>
      <c r="AJ7" s="479"/>
      <c r="AK7" s="480"/>
      <c r="AL7" s="279"/>
      <c r="AM7" s="479"/>
      <c r="AN7" s="480"/>
      <c r="AO7" s="279"/>
      <c r="AP7" s="267"/>
      <c r="AQ7" s="267"/>
      <c r="AR7" s="234"/>
      <c r="AS7" s="234"/>
      <c r="AT7" s="267"/>
      <c r="AU7" s="267"/>
      <c r="AV7" s="267"/>
      <c r="BJ7" s="280">
        <f t="shared" si="0"/>
        <v>4</v>
      </c>
      <c r="BK7" s="71" t="str">
        <f>'注音符號、電腦鍵盤與音標編碼'!C8</f>
        <v>a</v>
      </c>
      <c r="BL7" s="32" t="str">
        <f>'注音符號、電腦鍵盤與音標編碼'!D8</f>
        <v>ㄇ</v>
      </c>
      <c r="BM7" s="178" t="str">
        <f>'注音符號、電腦鍵盤與音標編碼'!E8</f>
        <v>ㄇ</v>
      </c>
      <c r="BN7" s="34" t="str">
        <f>'注音符號、電腦鍵盤與音標編碼'!F8</f>
        <v>m</v>
      </c>
      <c r="BO7" s="107" t="str">
        <f>'注音符號、電腦鍵盤與音標編碼'!G8</f>
        <v>m</v>
      </c>
      <c r="BP7" s="111"/>
      <c r="BR7" s="281" t="str">
        <f t="shared" si="1"/>
        <v>"a": { commit: "ㄇ" }</v>
      </c>
      <c r="BT7" s="237">
        <f t="shared" si="2"/>
        <v>4</v>
      </c>
      <c r="BU7" s="282" t="str">
        <f t="shared" si="3"/>
        <v>- xform/m/a/</v>
      </c>
      <c r="BW7" s="282" t="str">
        <f t="shared" si="4"/>
        <v>- xform/a/ㄇ/</v>
      </c>
    </row>
    <row r="8" spans="1:75" s="147" customFormat="1" ht="45" customHeight="1">
      <c r="A8" s="239"/>
      <c r="B8" s="239"/>
      <c r="C8" s="289"/>
      <c r="D8" s="476" t="s">
        <v>401</v>
      </c>
      <c r="E8" s="477"/>
      <c r="F8" s="478"/>
      <c r="G8" s="476" t="s">
        <v>460</v>
      </c>
      <c r="H8" s="477"/>
      <c r="I8" s="478"/>
      <c r="J8" s="476" t="s">
        <v>189</v>
      </c>
      <c r="K8" s="477"/>
      <c r="L8" s="478"/>
      <c r="M8" s="476" t="s">
        <v>566</v>
      </c>
      <c r="N8" s="477"/>
      <c r="O8" s="478"/>
      <c r="P8" s="476" t="s">
        <v>141</v>
      </c>
      <c r="Q8" s="477"/>
      <c r="R8" s="478"/>
      <c r="S8" s="476" t="s">
        <v>454</v>
      </c>
      <c r="T8" s="477"/>
      <c r="U8" s="478"/>
      <c r="V8" s="470" t="s">
        <v>249</v>
      </c>
      <c r="W8" s="471"/>
      <c r="X8" s="472"/>
      <c r="Y8" s="470" t="s">
        <v>425</v>
      </c>
      <c r="Z8" s="471"/>
      <c r="AA8" s="472"/>
      <c r="AB8" s="470" t="s">
        <v>231</v>
      </c>
      <c r="AC8" s="471"/>
      <c r="AD8" s="472"/>
      <c r="AE8" s="470" t="s">
        <v>567</v>
      </c>
      <c r="AF8" s="471"/>
      <c r="AG8" s="472"/>
      <c r="AH8" s="473" t="s">
        <v>568</v>
      </c>
      <c r="AI8" s="474"/>
      <c r="AJ8" s="475"/>
      <c r="AK8" s="239"/>
      <c r="AL8" s="239"/>
      <c r="AM8" s="239"/>
      <c r="AN8" s="239"/>
      <c r="AO8" s="239"/>
      <c r="AP8" s="239"/>
      <c r="AQ8" s="239"/>
      <c r="AR8" s="240"/>
      <c r="AS8" s="240"/>
      <c r="AT8" s="239"/>
      <c r="AU8" s="239"/>
      <c r="AV8" s="239"/>
      <c r="BJ8" s="280">
        <f t="shared" si="0"/>
        <v>5</v>
      </c>
      <c r="BK8" s="71">
        <f>'注音符號、電腦鍵盤與音標編碼'!C9</f>
        <v>2</v>
      </c>
      <c r="BL8" s="32" t="str">
        <f>'注音符號、電腦鍵盤與音標編碼'!D9</f>
        <v>ㄉ</v>
      </c>
      <c r="BM8" s="178" t="str">
        <f>'注音符號、電腦鍵盤與音標編碼'!E9</f>
        <v>ㄉ</v>
      </c>
      <c r="BN8" s="34" t="str">
        <f>'注音符號、電腦鍵盤與音標編碼'!F9</f>
        <v>t</v>
      </c>
      <c r="BO8" s="107" t="str">
        <f>'注音符號、電腦鍵盤與音標編碼'!G9</f>
        <v>t</v>
      </c>
      <c r="BP8" s="107"/>
      <c r="BR8" s="281" t="str">
        <f t="shared" si="1"/>
        <v>"2": { commit: "ㄉ" }</v>
      </c>
      <c r="BT8" s="242">
        <f t="shared" si="2"/>
        <v>5</v>
      </c>
      <c r="BU8" s="282" t="str">
        <f t="shared" si="3"/>
        <v>- xform/t/2/</v>
      </c>
      <c r="BW8" s="282" t="str">
        <f t="shared" si="4"/>
        <v>- xform/2/ㄉ/</v>
      </c>
    </row>
    <row r="9" spans="1:75" s="147" customFormat="1" ht="45" customHeight="1">
      <c r="A9" s="239"/>
      <c r="B9" s="239"/>
      <c r="C9" s="289"/>
      <c r="D9" s="244"/>
      <c r="E9" s="245"/>
      <c r="F9" s="248" t="str">
        <f ca="1">AP20</f>
        <v>am</v>
      </c>
      <c r="G9" s="247"/>
      <c r="H9" s="245"/>
      <c r="I9" s="248"/>
      <c r="J9" s="247"/>
      <c r="K9" s="245"/>
      <c r="L9" s="248"/>
      <c r="M9" s="247"/>
      <c r="N9" s="245"/>
      <c r="O9" s="248"/>
      <c r="P9" s="247"/>
      <c r="Q9" s="245"/>
      <c r="R9" s="248"/>
      <c r="S9" s="283" t="str">
        <f ca="1">U18</f>
        <v>ㄑ</v>
      </c>
      <c r="T9" s="245"/>
      <c r="U9" s="284" t="str">
        <f ca="1">U20</f>
        <v>ci-</v>
      </c>
      <c r="V9" s="255" t="str">
        <f ca="1">AB18</f>
        <v>ㄥㄨ</v>
      </c>
      <c r="W9" s="256"/>
      <c r="X9" s="257" t="str">
        <f ca="1">AB20</f>
        <v>Nu</v>
      </c>
      <c r="Y9" s="258"/>
      <c r="Z9" s="256"/>
      <c r="AA9" s="259"/>
      <c r="AB9" s="255" t="str">
        <f ca="1">AN18</f>
        <v>ㄥㄠ</v>
      </c>
      <c r="AC9" s="256"/>
      <c r="AD9" s="257" t="str">
        <f ca="1">AN20</f>
        <v>Nau</v>
      </c>
      <c r="AE9" s="255" t="str">
        <f ca="1">AQ18</f>
        <v>ㄛㄥ</v>
      </c>
      <c r="AF9" s="256"/>
      <c r="AG9" s="257" t="str">
        <f ca="1">AQ20</f>
        <v>ong</v>
      </c>
      <c r="AH9" s="260"/>
      <c r="AI9" s="261"/>
      <c r="AJ9" s="262"/>
      <c r="AK9" s="239"/>
      <c r="AL9" s="239"/>
      <c r="AM9" s="239"/>
      <c r="AN9" s="239"/>
      <c r="AO9" s="239"/>
      <c r="AP9" s="239"/>
      <c r="AQ9" s="239"/>
      <c r="AR9" s="240"/>
      <c r="AS9" s="240"/>
      <c r="AT9" s="239"/>
      <c r="AU9" s="239"/>
      <c r="AV9" s="239"/>
      <c r="BJ9" s="280">
        <f t="shared" si="0"/>
        <v>6</v>
      </c>
      <c r="BK9" s="71" t="str">
        <f>'注音符號、電腦鍵盤與音標編碼'!C10</f>
        <v>w</v>
      </c>
      <c r="BL9" s="32" t="str">
        <f>'注音符號、電腦鍵盤與音標編碼'!D10</f>
        <v>ㄊ</v>
      </c>
      <c r="BM9" s="178" t="str">
        <f>'注音符號、電腦鍵盤與音標編碼'!E10</f>
        <v>ㄊ</v>
      </c>
      <c r="BN9" s="34" t="str">
        <f>'注音符號、電腦鍵盤與音標編碼'!F10</f>
        <v>T</v>
      </c>
      <c r="BO9" s="107" t="str">
        <f>'注音符號、電腦鍵盤與音標編碼'!G10</f>
        <v>th</v>
      </c>
      <c r="BP9" s="107"/>
      <c r="BR9" s="281" t="str">
        <f t="shared" si="1"/>
        <v>"w": { commit: "ㄊ" }</v>
      </c>
      <c r="BT9" s="242">
        <f t="shared" si="2"/>
        <v>6</v>
      </c>
      <c r="BU9" s="282" t="str">
        <f t="shared" si="3"/>
        <v>- xform/T/w/</v>
      </c>
      <c r="BW9" s="282" t="str">
        <f t="shared" si="4"/>
        <v>- xform/w/ㄊ/</v>
      </c>
    </row>
    <row r="10" spans="1:75" ht="45" customHeight="1" thickBot="1">
      <c r="A10" s="267"/>
      <c r="B10" s="267"/>
      <c r="C10" s="267"/>
      <c r="D10" s="268" t="str">
        <f ca="1">G19</f>
        <v>ㄇ</v>
      </c>
      <c r="E10" s="269"/>
      <c r="F10" s="271" t="s">
        <v>143</v>
      </c>
      <c r="G10" s="268" t="str">
        <f ca="1">J19</f>
        <v>ㄋ</v>
      </c>
      <c r="H10" s="269"/>
      <c r="I10" s="271" t="s">
        <v>34</v>
      </c>
      <c r="J10" s="268" t="str">
        <f ca="1">N19</f>
        <v>ㄎ</v>
      </c>
      <c r="K10" s="269"/>
      <c r="L10" s="271" t="s">
        <v>418</v>
      </c>
      <c r="M10" s="285"/>
      <c r="N10" s="269"/>
      <c r="O10" s="290"/>
      <c r="P10" s="291"/>
      <c r="Q10" s="269"/>
      <c r="R10" s="288"/>
      <c r="S10" s="285" t="str">
        <f ca="1">Q19</f>
        <v>ㄘ</v>
      </c>
      <c r="T10" s="269"/>
      <c r="U10" s="288" t="str">
        <f ca="1">Q20</f>
        <v>c</v>
      </c>
      <c r="V10" s="273" t="str">
        <f ca="1">AA19</f>
        <v>ㄨ</v>
      </c>
      <c r="W10" s="274"/>
      <c r="X10" s="277" t="str">
        <f ca="1">AA20</f>
        <v>u</v>
      </c>
      <c r="Y10" s="273" t="str">
        <f ca="1">AI19</f>
        <v>ㄜ</v>
      </c>
      <c r="Z10" s="274"/>
      <c r="AA10" s="277" t="str">
        <f ca="1">AI20</f>
        <v>o</v>
      </c>
      <c r="AB10" s="273" t="str">
        <f ca="1">AM19</f>
        <v>ㄠ</v>
      </c>
      <c r="AC10" s="274"/>
      <c r="AD10" s="277" t="str">
        <f ca="1">AM20</f>
        <v>au</v>
      </c>
      <c r="AE10" s="273" t="str">
        <f ca="1">AR19</f>
        <v>ㄤ</v>
      </c>
      <c r="AF10" s="276"/>
      <c r="AG10" s="277" t="str">
        <f ca="1">AR20</f>
        <v>ang</v>
      </c>
      <c r="AH10" s="479"/>
      <c r="AI10" s="480"/>
      <c r="AJ10" s="279"/>
      <c r="AK10" s="267"/>
      <c r="AL10" s="267"/>
      <c r="AM10" s="267"/>
      <c r="AN10" s="267"/>
      <c r="AO10" s="267"/>
      <c r="AP10" s="267"/>
      <c r="AQ10" s="267"/>
      <c r="AR10" s="234"/>
      <c r="AS10" s="234"/>
      <c r="AT10" s="267"/>
      <c r="AU10" s="267"/>
      <c r="AV10" s="267"/>
      <c r="BJ10" s="280">
        <f t="shared" si="0"/>
        <v>7</v>
      </c>
      <c r="BK10" s="71" t="str">
        <f>'注音符號、電腦鍵盤與音標編碼'!C11</f>
        <v>s</v>
      </c>
      <c r="BL10" s="32" t="str">
        <f>'注音符號、電腦鍵盤與音標編碼'!D11</f>
        <v>ㄋ</v>
      </c>
      <c r="BM10" s="178" t="str">
        <f>'注音符號、電腦鍵盤與音標編碼'!E11</f>
        <v>ㄋ</v>
      </c>
      <c r="BN10" s="34" t="str">
        <f>'注音符號、電腦鍵盤與音標編碼'!F11</f>
        <v>n</v>
      </c>
      <c r="BO10" s="107" t="str">
        <f>'注音符號、電腦鍵盤與音標編碼'!G11</f>
        <v>n</v>
      </c>
      <c r="BP10" s="107"/>
      <c r="BR10" s="281" t="str">
        <f t="shared" si="1"/>
        <v>"s": { commit: "ㄋ" }</v>
      </c>
      <c r="BT10" s="237">
        <f t="shared" si="2"/>
        <v>7</v>
      </c>
      <c r="BU10" s="282" t="str">
        <f t="shared" si="3"/>
        <v>- xform/n/s/</v>
      </c>
      <c r="BW10" s="282" t="str">
        <f t="shared" si="4"/>
        <v>- xform/s/ㄋ/</v>
      </c>
    </row>
    <row r="11" spans="1:75" s="147" customFormat="1" ht="45" customHeight="1">
      <c r="A11" s="239"/>
      <c r="B11" s="239"/>
      <c r="C11" s="239"/>
      <c r="D11" s="239"/>
      <c r="E11" s="476" t="s">
        <v>449</v>
      </c>
      <c r="F11" s="477"/>
      <c r="G11" s="478"/>
      <c r="H11" s="476" t="s">
        <v>569</v>
      </c>
      <c r="I11" s="477"/>
      <c r="J11" s="478"/>
      <c r="K11" s="476" t="s">
        <v>456</v>
      </c>
      <c r="L11" s="477"/>
      <c r="M11" s="478"/>
      <c r="N11" s="476" t="s">
        <v>570</v>
      </c>
      <c r="O11" s="477"/>
      <c r="P11" s="478"/>
      <c r="Q11" s="476" t="s">
        <v>144</v>
      </c>
      <c r="R11" s="477"/>
      <c r="S11" s="478"/>
      <c r="T11" s="476" t="s">
        <v>571</v>
      </c>
      <c r="U11" s="477"/>
      <c r="V11" s="478"/>
      <c r="W11" s="470" t="s">
        <v>525</v>
      </c>
      <c r="X11" s="471"/>
      <c r="Y11" s="472"/>
      <c r="Z11" s="470" t="s">
        <v>572</v>
      </c>
      <c r="AA11" s="471"/>
      <c r="AB11" s="472"/>
      <c r="AC11" s="470" t="s">
        <v>573</v>
      </c>
      <c r="AD11" s="471"/>
      <c r="AE11" s="472"/>
      <c r="AF11" s="473" t="s">
        <v>574</v>
      </c>
      <c r="AG11" s="474"/>
      <c r="AH11" s="475"/>
      <c r="AI11" s="239"/>
      <c r="AJ11" s="239"/>
      <c r="AK11" s="239"/>
      <c r="AL11" s="239"/>
      <c r="AM11" s="239"/>
      <c r="AN11" s="239"/>
      <c r="AO11" s="239"/>
      <c r="AP11" s="239"/>
      <c r="AQ11" s="239"/>
      <c r="AR11" s="240"/>
      <c r="AS11" s="240"/>
      <c r="AT11" s="239"/>
      <c r="AU11" s="239"/>
      <c r="AV11" s="239"/>
      <c r="BJ11" s="280">
        <f t="shared" si="0"/>
        <v>8</v>
      </c>
      <c r="BK11" s="71" t="str">
        <f>'注音符號、電腦鍵盤與音標編碼'!C12</f>
        <v>x</v>
      </c>
      <c r="BL11" s="32" t="str">
        <f>'注音符號、電腦鍵盤與音標編碼'!D12</f>
        <v>ㄌ</v>
      </c>
      <c r="BM11" s="178" t="str">
        <f>'注音符號、電腦鍵盤與音標編碼'!E12</f>
        <v>ㄌ</v>
      </c>
      <c r="BN11" s="34" t="str">
        <f>'注音符號、電腦鍵盤與音標編碼'!F12</f>
        <v>l</v>
      </c>
      <c r="BO11" s="107" t="str">
        <f>'注音符號、電腦鍵盤與音標編碼'!G12</f>
        <v>l</v>
      </c>
      <c r="BP11" s="107"/>
      <c r="BR11" s="281" t="str">
        <f t="shared" si="1"/>
        <v>"x": { commit: "ㄌ" }</v>
      </c>
      <c r="BT11" s="242">
        <f t="shared" si="2"/>
        <v>8</v>
      </c>
      <c r="BU11" s="282" t="str">
        <f t="shared" si="3"/>
        <v>- xform/l/x/</v>
      </c>
      <c r="BW11" s="282" t="str">
        <f t="shared" si="4"/>
        <v>- xform/x/ㄌ/</v>
      </c>
    </row>
    <row r="12" spans="1:75" s="147" customFormat="1" ht="45" customHeight="1">
      <c r="A12" s="239"/>
      <c r="B12" s="239"/>
      <c r="C12" s="239"/>
      <c r="D12" s="239"/>
      <c r="E12" s="247"/>
      <c r="F12" s="245"/>
      <c r="G12" s="248"/>
      <c r="H12" s="247"/>
      <c r="I12" s="245"/>
      <c r="J12" s="248"/>
      <c r="K12" s="247"/>
      <c r="L12" s="245"/>
      <c r="M12" s="248"/>
      <c r="N12" s="247"/>
      <c r="O12" s="245"/>
      <c r="P12" s="248"/>
      <c r="Q12" s="283" t="str">
        <f ca="1">W19</f>
        <v>ㆢ</v>
      </c>
      <c r="R12" s="245"/>
      <c r="S12" s="284" t="str">
        <f ca="1">W20</f>
        <v>ji-</v>
      </c>
      <c r="T12" s="247" t="str">
        <f ca="1">V18</f>
        <v>ㄒ</v>
      </c>
      <c r="U12" s="245"/>
      <c r="V12" s="248" t="str">
        <f ca="1">V20</f>
        <v>si-</v>
      </c>
      <c r="W12" s="255"/>
      <c r="X12" s="256"/>
      <c r="Y12" s="257"/>
      <c r="Z12" s="255" t="str">
        <f ca="1">AF18</f>
        <v>ㄥㄝ</v>
      </c>
      <c r="AA12" s="256"/>
      <c r="AB12" s="257" t="str">
        <f ca="1">AF20</f>
        <v>Ne</v>
      </c>
      <c r="AC12" s="255"/>
      <c r="AD12" s="256"/>
      <c r="AE12" s="259"/>
      <c r="AF12" s="292" t="str">
        <f ca="1">O18</f>
        <v>ㄥ</v>
      </c>
      <c r="AG12" s="256"/>
      <c r="AH12" s="257" t="str">
        <f ca="1">O20</f>
        <v>ng</v>
      </c>
      <c r="AI12" s="239"/>
      <c r="AJ12" s="239"/>
      <c r="AK12" s="239"/>
      <c r="AL12" s="239"/>
      <c r="AM12" s="239"/>
      <c r="AN12" s="239"/>
      <c r="AO12" s="239"/>
      <c r="AP12" s="239"/>
      <c r="AQ12" s="239" t="s">
        <v>364</v>
      </c>
      <c r="AR12" s="240"/>
      <c r="AS12" s="240"/>
      <c r="AT12" s="239"/>
      <c r="AU12" s="239"/>
      <c r="AV12" s="239"/>
      <c r="BJ12" s="280">
        <f t="shared" si="0"/>
        <v>9</v>
      </c>
      <c r="BK12" s="71" t="str">
        <f>'注音符號、電腦鍵盤與音標編碼'!C13</f>
        <v>e</v>
      </c>
      <c r="BL12" s="32" t="str">
        <f>'注音符號、電腦鍵盤與音標編碼'!D13</f>
        <v>ㄍ</v>
      </c>
      <c r="BM12" s="178" t="str">
        <f>'注音符號、電腦鍵盤與音標編碼'!E13</f>
        <v>ㄍ</v>
      </c>
      <c r="BN12" s="34" t="str">
        <f>'注音符號、電腦鍵盤與音標編碼'!F13</f>
        <v>k</v>
      </c>
      <c r="BO12" s="107" t="str">
        <f>'注音符號、電腦鍵盤與音標編碼'!G13</f>
        <v>k</v>
      </c>
      <c r="BP12" s="107"/>
      <c r="BR12" s="281" t="str">
        <f t="shared" si="1"/>
        <v>"e": { commit: "ㄍ" }</v>
      </c>
      <c r="BT12" s="242">
        <f t="shared" si="2"/>
        <v>9</v>
      </c>
      <c r="BU12" s="282" t="str">
        <f t="shared" si="3"/>
        <v>- xform/k/e/</v>
      </c>
      <c r="BW12" s="282" t="str">
        <f t="shared" si="4"/>
        <v>- xform/e/ㄍ/</v>
      </c>
    </row>
    <row r="13" spans="1:75" ht="45" customHeight="1" thickBot="1">
      <c r="A13" s="267"/>
      <c r="B13" s="267"/>
      <c r="C13" s="267"/>
      <c r="D13" s="267"/>
      <c r="E13" s="285"/>
      <c r="F13" s="269"/>
      <c r="G13" s="287"/>
      <c r="H13" s="268" t="str">
        <f ca="1">K19</f>
        <v>ㄌ</v>
      </c>
      <c r="I13" s="269"/>
      <c r="J13" s="271" t="s">
        <v>86</v>
      </c>
      <c r="K13" s="268" t="str">
        <f ca="1">X19</f>
        <v>ㄏ</v>
      </c>
      <c r="L13" s="269"/>
      <c r="M13" s="288" t="str">
        <f ca="1">P20</f>
        <v>z</v>
      </c>
      <c r="N13" s="285"/>
      <c r="O13" s="269"/>
      <c r="P13" s="293"/>
      <c r="Q13" s="285" t="str">
        <f ca="1">S19</f>
        <v>ㆡ</v>
      </c>
      <c r="R13" s="269"/>
      <c r="S13" s="288" t="str">
        <f ca="1">S20</f>
        <v>j</v>
      </c>
      <c r="T13" s="268" t="str">
        <f ca="1">R18</f>
        <v>ㄙ</v>
      </c>
      <c r="U13" s="269"/>
      <c r="V13" s="288" t="str">
        <f ca="1">R20</f>
        <v>s</v>
      </c>
      <c r="W13" s="273" t="str">
        <f ca="1">AU18</f>
        <v>ㄇ</v>
      </c>
      <c r="X13" s="274"/>
      <c r="Y13" s="277" t="str">
        <f ca="1">AU17</f>
        <v>m</v>
      </c>
      <c r="Z13" s="273" t="str">
        <f ca="1">AE19</f>
        <v>ㆤ</v>
      </c>
      <c r="AA13" s="274"/>
      <c r="AB13" s="277" t="str">
        <f ca="1">AE20</f>
        <v>e</v>
      </c>
      <c r="AC13" s="273"/>
      <c r="AD13" s="274"/>
      <c r="AE13" s="294"/>
      <c r="AF13" s="273" t="str">
        <f ca="1">AT18</f>
        <v>ㄥ</v>
      </c>
      <c r="AG13" s="274"/>
      <c r="AH13" s="277" t="str">
        <f ca="1">AT20</f>
        <v>ng</v>
      </c>
      <c r="AI13" s="267"/>
      <c r="AJ13" s="267"/>
      <c r="AK13" s="267"/>
      <c r="AL13" s="267"/>
      <c r="AM13" s="267"/>
      <c r="AN13" s="267"/>
      <c r="AO13" s="267"/>
      <c r="AP13" s="267"/>
      <c r="AQ13" s="267"/>
      <c r="AR13" s="234"/>
      <c r="AS13" s="234"/>
      <c r="AT13" s="267"/>
      <c r="AU13" s="267"/>
      <c r="AV13" s="267"/>
      <c r="BG13" s="147"/>
      <c r="BJ13" s="280">
        <f t="shared" si="0"/>
        <v>10</v>
      </c>
      <c r="BK13" s="71" t="str">
        <f>'注音符號、電腦鍵盤與音標編碼'!C14</f>
        <v>E</v>
      </c>
      <c r="BL13" s="32" t="str">
        <f>'注音符號、電腦鍵盤與音標編碼'!D14</f>
        <v>ㄍㄏ</v>
      </c>
      <c r="BM13" s="178" t="str">
        <f>'注音符號、電腦鍵盤與音標編碼'!E14</f>
        <v>ㆣ</v>
      </c>
      <c r="BN13" s="34" t="str">
        <f>'注音符號、電腦鍵盤與音標編碼'!F14</f>
        <v>g</v>
      </c>
      <c r="BO13" s="107" t="str">
        <f>'注音符號、電腦鍵盤與音標編碼'!G14</f>
        <v>g</v>
      </c>
      <c r="BP13" s="107"/>
      <c r="BR13" s="281" t="str">
        <f t="shared" si="1"/>
        <v>"E": { commit: "ㄍㄏ" }</v>
      </c>
      <c r="BT13" s="237">
        <f t="shared" si="2"/>
        <v>10</v>
      </c>
      <c r="BU13" s="282" t="str">
        <f t="shared" si="3"/>
        <v>- xform/g/E/</v>
      </c>
      <c r="BW13" s="282" t="str">
        <f t="shared" si="4"/>
        <v>- xform/E/ㄍㄏ/</v>
      </c>
    </row>
    <row r="14" spans="1:75" ht="45" customHeight="1">
      <c r="BG14" s="147"/>
      <c r="BJ14" s="280">
        <f t="shared" si="0"/>
        <v>11</v>
      </c>
      <c r="BK14" s="71" t="str">
        <f>'注音符號、電腦鍵盤與音標編碼'!C15</f>
        <v>d</v>
      </c>
      <c r="BL14" s="32" t="str">
        <f>'注音符號、電腦鍵盤與音標編碼'!D15</f>
        <v>ㄎ</v>
      </c>
      <c r="BM14" s="178" t="str">
        <f>'注音符號、電腦鍵盤與音標編碼'!E15</f>
        <v>ㄎ</v>
      </c>
      <c r="BN14" s="34" t="str">
        <f>'注音符號、電腦鍵盤與音標編碼'!F15</f>
        <v>K</v>
      </c>
      <c r="BO14" s="107" t="str">
        <f>'注音符號、電腦鍵盤與音標編碼'!G15</f>
        <v>kh</v>
      </c>
      <c r="BP14" s="107"/>
      <c r="BR14" s="281" t="str">
        <f t="shared" si="1"/>
        <v>"d": { commit: "ㄎ" }</v>
      </c>
      <c r="BT14" s="237">
        <f t="shared" si="2"/>
        <v>11</v>
      </c>
      <c r="BU14" s="282" t="str">
        <f t="shared" si="3"/>
        <v>- xform/K/d/</v>
      </c>
      <c r="BW14" s="282" t="str">
        <f t="shared" si="4"/>
        <v>- xform/d/ㄎ/</v>
      </c>
    </row>
    <row r="15" spans="1:75" s="190" customFormat="1" ht="45" customHeight="1">
      <c r="A15" s="267"/>
      <c r="B15" s="267"/>
      <c r="C15" s="267"/>
      <c r="D15" s="267"/>
      <c r="E15" s="267"/>
      <c r="F15" s="267"/>
      <c r="G15" s="267"/>
      <c r="H15" s="267"/>
      <c r="I15" s="267"/>
      <c r="J15" s="267"/>
      <c r="K15" s="267"/>
      <c r="L15" s="267"/>
      <c r="M15" s="267"/>
      <c r="N15" s="267"/>
      <c r="O15" s="267"/>
      <c r="P15" s="267"/>
      <c r="Q15" s="267"/>
      <c r="R15" s="267"/>
      <c r="S15" s="267"/>
      <c r="T15" s="267"/>
      <c r="U15" s="267"/>
      <c r="V15" s="267"/>
      <c r="W15" s="267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  <c r="AP15" s="267"/>
      <c r="AQ15" s="267"/>
      <c r="AR15" s="234"/>
      <c r="AS15" s="234"/>
      <c r="AT15" s="267"/>
      <c r="AU15" s="267"/>
      <c r="AV15" s="267"/>
      <c r="AW15" s="145"/>
      <c r="AX15" s="145"/>
      <c r="AY15" s="145"/>
      <c r="AZ15" s="145"/>
      <c r="BA15" s="145"/>
      <c r="BB15" s="145"/>
      <c r="BC15" s="147"/>
      <c r="BD15" s="147"/>
      <c r="BE15" s="147"/>
      <c r="BF15" s="147"/>
      <c r="BG15" s="147"/>
      <c r="BJ15" s="280">
        <f t="shared" si="0"/>
        <v>12</v>
      </c>
      <c r="BK15" s="71" t="str">
        <f>'注音符號、電腦鍵盤與音標編碼'!C16</f>
        <v>?</v>
      </c>
      <c r="BL15" s="32" t="str">
        <f>'注音符號、電腦鍵盤與音標編碼'!D16</f>
        <v>ㄥ</v>
      </c>
      <c r="BM15" s="178" t="str">
        <f>'注音符號、電腦鍵盤與音標編碼'!E16</f>
        <v>ㄫ</v>
      </c>
      <c r="BN15" s="34" t="str">
        <f>'注音符號、電腦鍵盤與音標編碼'!F16</f>
        <v>w</v>
      </c>
      <c r="BO15" s="107" t="str">
        <f>'注音符號、電腦鍵盤與音標編碼'!G16</f>
        <v>ng</v>
      </c>
      <c r="BP15" s="107"/>
      <c r="BR15" s="281" t="str">
        <f t="shared" si="1"/>
        <v>"?": { commit: "ㄥ" }</v>
      </c>
      <c r="BT15" s="295">
        <f t="shared" si="2"/>
        <v>12</v>
      </c>
      <c r="BU15" s="282" t="str">
        <f t="shared" si="3"/>
        <v>- xform/w/?/</v>
      </c>
      <c r="BW15" s="282" t="str">
        <f t="shared" si="4"/>
        <v>- xform/?/ㄥ/</v>
      </c>
    </row>
    <row r="16" spans="1:75" s="193" customFormat="1" ht="45" customHeight="1">
      <c r="A16" s="296"/>
      <c r="B16" s="297" t="s">
        <v>14</v>
      </c>
      <c r="C16" s="298"/>
      <c r="D16" s="299" cm="1">
        <f t="array" ref="D16" xml:space="preserve"> COLUMN() - COLUMN($C:$C)</f>
        <v>1</v>
      </c>
      <c r="E16" s="299" cm="1">
        <f t="array" ref="E16" xml:space="preserve"> COLUMN() - COLUMN($C:$C)</f>
        <v>2</v>
      </c>
      <c r="F16" s="299" cm="1">
        <f t="array" ref="F16" xml:space="preserve"> COLUMN() - COLUMN($C:$C)</f>
        <v>3</v>
      </c>
      <c r="G16" s="299" cm="1">
        <f t="array" ref="G16" xml:space="preserve"> COLUMN() - COLUMN($C:$C)</f>
        <v>4</v>
      </c>
      <c r="H16" s="299" cm="1">
        <f t="array" ref="H16" xml:space="preserve"> COLUMN() - COLUMN($C:$C)</f>
        <v>5</v>
      </c>
      <c r="I16" s="299" cm="1">
        <f t="array" ref="I16" xml:space="preserve"> COLUMN() - COLUMN($C:$C)</f>
        <v>6</v>
      </c>
      <c r="J16" s="299" cm="1">
        <f t="array" ref="J16" xml:space="preserve"> COLUMN() - COLUMN($C:$C)</f>
        <v>7</v>
      </c>
      <c r="K16" s="299" cm="1">
        <f t="array" ref="K16" xml:space="preserve"> COLUMN() - COLUMN($C:$C)</f>
        <v>8</v>
      </c>
      <c r="L16" s="299" cm="1">
        <f t="array" ref="L16" xml:space="preserve"> COLUMN() - COLUMN($C:$C)</f>
        <v>9</v>
      </c>
      <c r="M16" s="299" cm="1">
        <f t="array" ref="M16" xml:space="preserve"> COLUMN() - COLUMN($C:$C)</f>
        <v>10</v>
      </c>
      <c r="N16" s="299" cm="1">
        <f t="array" ref="N16" xml:space="preserve"> COLUMN() - COLUMN($C:$C)</f>
        <v>11</v>
      </c>
      <c r="O16" s="299" cm="1">
        <f t="array" ref="O16" xml:space="preserve"> COLUMN() - COLUMN($C:$C)</f>
        <v>12</v>
      </c>
      <c r="P16" s="299" cm="1">
        <f t="array" ref="P16" xml:space="preserve"> COLUMN() - COLUMN($C:$C)</f>
        <v>13</v>
      </c>
      <c r="Q16" s="299" cm="1">
        <f t="array" ref="Q16" xml:space="preserve"> COLUMN() - COLUMN($C:$C)</f>
        <v>14</v>
      </c>
      <c r="R16" s="299" cm="1">
        <f t="array" ref="R16" xml:space="preserve"> COLUMN() - COLUMN($C:$C)</f>
        <v>15</v>
      </c>
      <c r="S16" s="299" cm="1">
        <f t="array" ref="S16" xml:space="preserve"> COLUMN() - COLUMN($C:$C)</f>
        <v>16</v>
      </c>
      <c r="T16" s="299" cm="1">
        <f t="array" ref="T16" xml:space="preserve"> COLUMN() - COLUMN($C:$C)</f>
        <v>17</v>
      </c>
      <c r="U16" s="299" cm="1">
        <f t="array" ref="U16" xml:space="preserve"> COLUMN() - COLUMN($C:$C)</f>
        <v>18</v>
      </c>
      <c r="V16" s="299" cm="1">
        <f t="array" ref="V16" xml:space="preserve"> COLUMN() - COLUMN($C:$C)</f>
        <v>19</v>
      </c>
      <c r="W16" s="299" cm="1">
        <f t="array" ref="W16" xml:space="preserve"> COLUMN() - COLUMN($C:$C)</f>
        <v>20</v>
      </c>
      <c r="X16" s="299" cm="1">
        <f t="array" ref="X16" xml:space="preserve"> COLUMN() - COLUMN($C:$C)</f>
        <v>21</v>
      </c>
      <c r="Y16" s="300" cm="1">
        <f t="array" ref="Y16" xml:space="preserve"> COLUMN() - COLUMN($C:$C)</f>
        <v>22</v>
      </c>
      <c r="Z16" s="300" cm="1">
        <f t="array" ref="Z16" xml:space="preserve"> COLUMN() - COLUMN($C:$C)</f>
        <v>23</v>
      </c>
      <c r="AA16" s="300" cm="1">
        <f t="array" ref="AA16" xml:space="preserve"> COLUMN() - COLUMN($C:$C)</f>
        <v>24</v>
      </c>
      <c r="AB16" s="300" cm="1">
        <f t="array" ref="AB16" xml:space="preserve"> COLUMN() - COLUMN($C:$C)</f>
        <v>25</v>
      </c>
      <c r="AC16" s="300" cm="1">
        <f t="array" ref="AC16" xml:space="preserve"> COLUMN() - COLUMN($C:$C)</f>
        <v>26</v>
      </c>
      <c r="AD16" s="300" cm="1">
        <f t="array" ref="AD16" xml:space="preserve"> COLUMN() - COLUMN($C:$C)</f>
        <v>27</v>
      </c>
      <c r="AE16" s="300" cm="1">
        <f t="array" ref="AE16" xml:space="preserve"> COLUMN() - COLUMN($C:$C)</f>
        <v>28</v>
      </c>
      <c r="AF16" s="300" cm="1">
        <f t="array" ref="AF16" xml:space="preserve"> COLUMN() - COLUMN($C:$C)</f>
        <v>29</v>
      </c>
      <c r="AG16" s="300" cm="1">
        <f t="array" ref="AG16" xml:space="preserve"> COLUMN() - COLUMN($C:$C)</f>
        <v>30</v>
      </c>
      <c r="AH16" s="300" cm="1">
        <f t="array" ref="AH16" xml:space="preserve"> COLUMN() - COLUMN($C:$C)</f>
        <v>31</v>
      </c>
      <c r="AI16" s="300" cm="1">
        <f t="array" ref="AI16" xml:space="preserve"> COLUMN() - COLUMN($C:$C)</f>
        <v>32</v>
      </c>
      <c r="AJ16" s="300" cm="1">
        <f t="array" ref="AJ16" xml:space="preserve"> COLUMN() - COLUMN($C:$C)</f>
        <v>33</v>
      </c>
      <c r="AK16" s="300" cm="1">
        <f t="array" ref="AK16" xml:space="preserve"> COLUMN() - COLUMN($C:$C)</f>
        <v>34</v>
      </c>
      <c r="AL16" s="300" cm="1">
        <f t="array" ref="AL16" xml:space="preserve"> COLUMN() - COLUMN($C:$C)</f>
        <v>35</v>
      </c>
      <c r="AM16" s="300" cm="1">
        <f t="array" ref="AM16" xml:space="preserve"> COLUMN() - COLUMN($C:$C)</f>
        <v>36</v>
      </c>
      <c r="AN16" s="300" cm="1">
        <f t="array" ref="AN16" xml:space="preserve"> COLUMN() - COLUMN($C:$C)</f>
        <v>37</v>
      </c>
      <c r="AO16" s="300" cm="1">
        <f t="array" ref="AO16" xml:space="preserve"> COLUMN() - COLUMN($C:$C)</f>
        <v>38</v>
      </c>
      <c r="AP16" s="300" cm="1">
        <f t="array" ref="AP16" xml:space="preserve"> COLUMN() - COLUMN($C:$C)</f>
        <v>39</v>
      </c>
      <c r="AQ16" s="300" cm="1">
        <f t="array" ref="AQ16" xml:space="preserve"> COLUMN() - COLUMN($C:$C)</f>
        <v>40</v>
      </c>
      <c r="AR16" s="300" cm="1">
        <f t="array" ref="AR16" xml:space="preserve"> COLUMN() - COLUMN($C:$C)</f>
        <v>41</v>
      </c>
      <c r="AS16" s="300" cm="1">
        <f t="array" ref="AS16" xml:space="preserve"> COLUMN() - COLUMN($C:$C)</f>
        <v>42</v>
      </c>
      <c r="AT16" s="300" cm="1">
        <f t="array" ref="AT16" xml:space="preserve"> COLUMN() - COLUMN($C:$C)</f>
        <v>43</v>
      </c>
      <c r="AU16" s="300" cm="1">
        <f t="array" ref="AU16" xml:space="preserve"> COLUMN() - COLUMN($C:$C)</f>
        <v>44</v>
      </c>
      <c r="AV16" s="300" cm="1">
        <f t="array" ref="AV16" xml:space="preserve"> COLUMN() - COLUMN($C:$C)</f>
        <v>45</v>
      </c>
      <c r="AW16" s="300" cm="1">
        <f t="array" ref="AW16" xml:space="preserve"> COLUMN() - COLUMN($C:$C)</f>
        <v>46</v>
      </c>
      <c r="AX16" s="301" cm="1">
        <f t="array" ref="AX16" xml:space="preserve"> COLUMN() - COLUMN($C:$C)</f>
        <v>47</v>
      </c>
      <c r="AY16" s="301" cm="1">
        <f t="array" ref="AY16" xml:space="preserve"> COLUMN() - COLUMN($C:$C)</f>
        <v>48</v>
      </c>
      <c r="AZ16" s="301" cm="1">
        <f t="array" ref="AZ16" xml:space="preserve"> COLUMN() - COLUMN($C:$C)</f>
        <v>49</v>
      </c>
      <c r="BA16" s="301" cm="1">
        <f t="array" ref="BA16" xml:space="preserve"> COLUMN() - COLUMN($C:$C)</f>
        <v>50</v>
      </c>
      <c r="BB16" s="301" cm="1">
        <f t="array" ref="BB16" xml:space="preserve"> COLUMN() - COLUMN($C:$C)</f>
        <v>51</v>
      </c>
      <c r="BC16" s="301" cm="1">
        <f t="array" ref="BC16" xml:space="preserve"> COLUMN() - COLUMN($C:$C)</f>
        <v>52</v>
      </c>
      <c r="BD16" s="147"/>
      <c r="BE16" s="147"/>
      <c r="BF16" s="147"/>
      <c r="BG16" s="147"/>
      <c r="BJ16" s="280">
        <f t="shared" si="0"/>
        <v>13</v>
      </c>
      <c r="BK16" s="71" t="str">
        <f>'注音符號、電腦鍵盤與音標編碼'!C17</f>
        <v>y</v>
      </c>
      <c r="BL16" s="32" t="str">
        <f>'注音符號、電腦鍵盤與音標編碼'!D17</f>
        <v>ㄗ</v>
      </c>
      <c r="BM16" s="178" t="str">
        <f>'注音符號、電腦鍵盤與音標編碼'!E17</f>
        <v>ㄗ</v>
      </c>
      <c r="BN16" s="34" t="str">
        <f>'注音符號、電腦鍵盤與音標編碼'!F17</f>
        <v>z</v>
      </c>
      <c r="BO16" s="107" t="str">
        <f>'注音符號、電腦鍵盤與音標編碼'!G17</f>
        <v>z</v>
      </c>
      <c r="BP16" s="107"/>
      <c r="BR16" s="281" t="str">
        <f t="shared" si="1"/>
        <v>"y": { commit: "ㄗ" }</v>
      </c>
      <c r="BT16" s="195">
        <f t="shared" si="2"/>
        <v>13</v>
      </c>
      <c r="BU16" s="282" t="str">
        <f t="shared" si="3"/>
        <v>- xform/z/y/</v>
      </c>
      <c r="BW16" s="282" t="str">
        <f t="shared" si="4"/>
        <v>- xform/y/ㄗ/</v>
      </c>
    </row>
    <row r="17" spans="1:89" s="193" customFormat="1" ht="45" customHeight="1">
      <c r="A17" s="302"/>
      <c r="B17" s="303" t="s">
        <v>342</v>
      </c>
      <c r="C17" s="304"/>
      <c r="D17" s="305" cm="1">
        <f t="array" aca="1" ref="D17" ca="1">INDIRECT(ADDRESS(ROW($BK$4)+D$16-1, COLUMN($BK$4)))</f>
        <v>1</v>
      </c>
      <c r="E17" s="305" t="str" cm="1">
        <f t="array" aca="1" ref="E17" ca="1">INDIRECT(ADDRESS(ROW($BK$4)+E$16-1, COLUMN($BK$4)))</f>
        <v>!</v>
      </c>
      <c r="F17" s="305" t="str" cm="1">
        <f t="array" aca="1" ref="F17" ca="1">INDIRECT(ADDRESS(ROW($BK$4)+F$16-1, COLUMN($BK$4)))</f>
        <v>q</v>
      </c>
      <c r="G17" s="305" t="str" cm="1">
        <f t="array" aca="1" ref="G17" ca="1">INDIRECT(ADDRESS(ROW($BK$4)+G$16-1, COLUMN($BK$4)))</f>
        <v>a</v>
      </c>
      <c r="H17" s="305" cm="1">
        <f t="array" aca="1" ref="H17" ca="1">INDIRECT(ADDRESS(ROW($BK$4)+H$16-1, COLUMN($BK$4)))</f>
        <v>2</v>
      </c>
      <c r="I17" s="305" t="str" cm="1">
        <f t="array" aca="1" ref="I17" ca="1">INDIRECT(ADDRESS(ROW($BK$4)+I$16-1, COLUMN($BK$4)))</f>
        <v>w</v>
      </c>
      <c r="J17" s="305" t="str" cm="1">
        <f t="array" aca="1" ref="J17" ca="1">INDIRECT(ADDRESS(ROW($BK$4)+J$16-1, COLUMN($BK$4)))</f>
        <v>s</v>
      </c>
      <c r="K17" s="305" t="str" cm="1">
        <f t="array" aca="1" ref="K17" ca="1">INDIRECT(ADDRESS(ROW($BK$4)+K$16-1, COLUMN($BK$4)))</f>
        <v>x</v>
      </c>
      <c r="L17" s="305" t="str" cm="1">
        <f t="array" aca="1" ref="L17" ca="1">INDIRECT(ADDRESS(ROW($BK$4)+L$16-1, COLUMN($BK$4)))</f>
        <v>e</v>
      </c>
      <c r="M17" s="305" t="str" cm="1">
        <f t="array" aca="1" ref="M17" ca="1">INDIRECT(ADDRESS(ROW($BK$4)+M$16-1, COLUMN($BK$4)))</f>
        <v>E</v>
      </c>
      <c r="N17" s="305" t="str" cm="1">
        <f t="array" aca="1" ref="N17" ca="1">INDIRECT(ADDRESS(ROW($BK$4)+N$16-1, COLUMN($BK$4)))</f>
        <v>d</v>
      </c>
      <c r="O17" s="305" t="str" cm="1">
        <f t="array" aca="1" ref="O17" ca="1">INDIRECT(ADDRESS(ROW($BK$4)+O$16-1, COLUMN($BK$4)))</f>
        <v>?</v>
      </c>
      <c r="P17" s="305" t="str" cm="1">
        <f t="array" aca="1" ref="P17" ca="1">INDIRECT(ADDRESS(ROW($BK$4)+P$16-1, COLUMN($BK$4)))</f>
        <v>y</v>
      </c>
      <c r="Q17" s="305" t="str" cm="1">
        <f t="array" aca="1" ref="Q17" ca="1">INDIRECT(ADDRESS(ROW($BK$4)+Q$16-1, COLUMN($BK$4)))</f>
        <v>h</v>
      </c>
      <c r="R17" s="305" t="str" cm="1">
        <f t="array" aca="1" ref="R17" ca="1">INDIRECT(ADDRESS(ROW($BK$4)+R$16-1, COLUMN($BK$4)))</f>
        <v>n</v>
      </c>
      <c r="S17" s="305" t="str" cm="1">
        <f t="array" aca="1" ref="S17" ca="1">INDIRECT(ADDRESS(ROW($BK$4)+S$16-1, COLUMN($BK$4)))</f>
        <v>b</v>
      </c>
      <c r="T17" s="305" t="str" cm="1">
        <f t="array" aca="1" ref="T17" ca="1">INDIRECT(ADDRESS(ROW($BK$4)+T$16-1, COLUMN($BK$4)))</f>
        <v>Y</v>
      </c>
      <c r="U17" s="305" t="str" cm="1">
        <f t="array" aca="1" ref="U17" ca="1">INDIRECT(ADDRESS(ROW($BK$4)+U$16-1, COLUMN($BK$4)))</f>
        <v>H</v>
      </c>
      <c r="V17" s="305" t="str" cm="1">
        <f t="array" aca="1" ref="V17" ca="1">INDIRECT(ADDRESS(ROW($BK$4)+V$16-1, COLUMN($BK$4)))</f>
        <v>N</v>
      </c>
      <c r="W17" s="305" t="str" cm="1">
        <f t="array" aca="1" ref="W17" ca="1">INDIRECT(ADDRESS(ROW($BK$4)+W$16-1, COLUMN($BK$4)))</f>
        <v>B</v>
      </c>
      <c r="X17" s="305" t="str" cm="1">
        <f t="array" aca="1" ref="X17" ca="1">INDIRECT(ADDRESS(ROW($BK$4)+X$16-1, COLUMN($BK$4)))</f>
        <v>c</v>
      </c>
      <c r="Y17" s="305" t="str" cm="1">
        <f t="array" aca="1" ref="Y17" ca="1">INDIRECT(ADDRESS(ROW($BK$4)+Y$16-1, COLUMN($BK$4)))</f>
        <v>u</v>
      </c>
      <c r="Z17" s="305" t="str" cm="1">
        <f t="array" aca="1" ref="Z17" ca="1">INDIRECT(ADDRESS(ROW($BK$4)+Z$16-1, COLUMN($BK$4)))</f>
        <v>U</v>
      </c>
      <c r="AA17" s="305" t="str" cm="1">
        <f t="array" aca="1" ref="AA17" ca="1">INDIRECT(ADDRESS(ROW($BK$4)+AA$16-1, COLUMN($BK$4)))</f>
        <v>j</v>
      </c>
      <c r="AB17" s="305" t="str" cm="1">
        <f t="array" aca="1" ref="AB17" ca="1">INDIRECT(ADDRESS(ROW($BK$4)+AB$16-1, COLUMN($BK$4)))</f>
        <v>J</v>
      </c>
      <c r="AC17" s="305" cm="1">
        <f t="array" aca="1" ref="AC17" ca="1">INDIRECT(ADDRESS(ROW($BK$4)+AC$16-1, COLUMN($BK$4)))</f>
        <v>8</v>
      </c>
      <c r="AD17" s="305" t="str" cm="1">
        <f t="array" aca="1" ref="AD17" ca="1">INDIRECT(ADDRESS(ROW($BK$4)+AD$16-1, COLUMN($BK$4)))</f>
        <v>*</v>
      </c>
      <c r="AE17" s="305" t="str" cm="1">
        <f t="array" aca="1" ref="AE17" ca="1">INDIRECT(ADDRESS(ROW($BK$4)+AE$16-1, COLUMN($BK$4)))</f>
        <v>,</v>
      </c>
      <c r="AF17" s="305" t="str" cm="1">
        <f t="array" aca="1" ref="AF17" ca="1">INDIRECT(ADDRESS(ROW($BK$4)+AF$16-1, COLUMN($BK$4)))</f>
        <v>&lt;</v>
      </c>
      <c r="AG17" s="305" t="str" cm="1">
        <f t="array" aca="1" ref="AG17" ca="1">INDIRECT(ADDRESS(ROW($BK$4)+AG$16-1, COLUMN($BK$4)))</f>
        <v>i</v>
      </c>
      <c r="AH17" s="305" t="str" cm="1">
        <f t="array" aca="1" ref="AH17" ca="1">INDIRECT(ADDRESS(ROW($BK$4)+AH$16-1, COLUMN($BK$4)))</f>
        <v>I</v>
      </c>
      <c r="AI17" s="305" t="str" cm="1">
        <f t="array" aca="1" ref="AI17" ca="1">INDIRECT(ADDRESS(ROW($BK$4)+AI$16-1, COLUMN($BK$4)))</f>
        <v>k</v>
      </c>
      <c r="AJ17" s="305" cm="1">
        <f t="array" aca="1" ref="AJ17" ca="1">INDIRECT(ADDRESS(ROW($BK$4)+AJ$16-1, COLUMN($BK$4)))</f>
        <v>0</v>
      </c>
      <c r="AK17" s="305" cm="1">
        <f t="array" aca="1" ref="AK17" ca="1">INDIRECT(ADDRESS(ROW($BK$4)+AK$16-1, COLUMN($BK$4)))</f>
        <v>9</v>
      </c>
      <c r="AL17" s="305" t="str" cm="1">
        <f t="array" aca="1" ref="AL17" ca="1">INDIRECT(ADDRESS(ROW($BK$4)+AL$16-1, COLUMN($BK$4)))</f>
        <v>(</v>
      </c>
      <c r="AM17" s="305" t="str" cm="1">
        <f t="array" aca="1" ref="AM17" ca="1">INDIRECT(ADDRESS(ROW($BK$4)+AM$16-1, COLUMN($BK$4)))</f>
        <v>l</v>
      </c>
      <c r="AN17" s="305" t="str" cm="1">
        <f t="array" aca="1" ref="AN17" ca="1">INDIRECT(ADDRESS(ROW($BK$4)+AN$16-1, COLUMN($BK$4)))</f>
        <v>L</v>
      </c>
      <c r="AO17" s="305" t="str" cm="1">
        <f t="array" aca="1" ref="AO17" ca="1">INDIRECT(ADDRESS(ROW($BK$4)+AO$16-1, COLUMN($BK$4)))</f>
        <v>O</v>
      </c>
      <c r="AP17" s="305" t="str" cm="1">
        <f t="array" aca="1" ref="AP17" ca="1">INDIRECT(ADDRESS(ROW($BK$4)+AP$16-1, COLUMN($BK$4)))</f>
        <v>A</v>
      </c>
      <c r="AQ17" s="305" t="str" cm="1">
        <f t="array" aca="1" ref="AQ17" ca="1">INDIRECT(ADDRESS(ROW($BK$4)+AQ$16-1, COLUMN($BK$4)))</f>
        <v>:</v>
      </c>
      <c r="AR17" s="305" t="str" cm="1">
        <f t="array" aca="1" ref="AR17" ca="1">INDIRECT(ADDRESS(ROW($BK$4)+AR$16-1, COLUMN($BK$4)))</f>
        <v>;</v>
      </c>
      <c r="AS17" s="305" t="str" cm="1">
        <f t="array" aca="1" ref="AS17" ca="1">INDIRECT(ADDRESS(ROW($BK$4)+AS$16-1, COLUMN($BK$4)))</f>
        <v>o</v>
      </c>
      <c r="AT17" s="305" t="str" cm="1">
        <f t="array" aca="1" ref="AT17" ca="1">INDIRECT(ADDRESS(ROW($BK$4)+AT$16-1, COLUMN($BK$4)))</f>
        <v>/</v>
      </c>
      <c r="AU17" s="305" t="str" cm="1">
        <f t="array" aca="1" ref="AU17" ca="1">INDIRECT(ADDRESS(ROW($BK$4)+AU$16-1, COLUMN($BK$4)))</f>
        <v>m</v>
      </c>
      <c r="AV17" s="305" t="str" cm="1">
        <f t="array" aca="1" ref="AV17" ca="1">INDIRECT(ADDRESS(ROW($BK$4)+AV$16-1, COLUMN($BK$4)))</f>
        <v>p</v>
      </c>
      <c r="AW17" s="305" t="str" cm="1">
        <f t="array" aca="1" ref="AW17" ca="1">INDIRECT(ADDRESS(ROW($BK$4)+AW$16-1, COLUMN($BK$4)))</f>
        <v>.</v>
      </c>
      <c r="AX17" s="305" t="str" cm="1">
        <f t="array" aca="1" ref="AX17" ca="1">INDIRECT(ADDRESS(ROW($BK$4)+AX$16-1, COLUMN($BK$4)))</f>
        <v xml:space="preserve"> </v>
      </c>
      <c r="AY17" s="305" cm="1">
        <f t="array" aca="1" ref="AY17" ca="1">INDIRECT(ADDRESS(ROW($BK$4)+AY$16-1, COLUMN($BK$4)))</f>
        <v>4</v>
      </c>
      <c r="AZ17" s="305" cm="1">
        <f t="array" aca="1" ref="AZ17" ca="1">INDIRECT(ADDRESS(ROW($BK$4)+AZ$16-1, COLUMN($BK$4)))</f>
        <v>3</v>
      </c>
      <c r="BA17" s="305" cm="1">
        <f t="array" aca="1" ref="BA17" ca="1">INDIRECT(ADDRESS(ROW($BK$4)+BA$16-1, COLUMN($BK$4)))</f>
        <v>6</v>
      </c>
      <c r="BB17" s="305" cm="1">
        <f t="array" aca="1" ref="BB17" ca="1">INDIRECT(ADDRESS(ROW($BK$4)+BB$16-1, COLUMN($BK$4)))</f>
        <v>5</v>
      </c>
      <c r="BC17" s="305" cm="1">
        <f t="array" aca="1" ref="BC17" ca="1">INDIRECT(ADDRESS(ROW($BK$4)+BC$16-1, COLUMN($BK$4)))</f>
        <v>7</v>
      </c>
      <c r="BD17" s="147"/>
      <c r="BE17" s="147"/>
      <c r="BF17" s="147"/>
      <c r="BG17" s="147"/>
      <c r="BJ17" s="280">
        <f t="shared" si="0"/>
        <v>14</v>
      </c>
      <c r="BK17" s="71" t="str">
        <f>'注音符號、電腦鍵盤與音標編碼'!C18</f>
        <v>h</v>
      </c>
      <c r="BL17" s="32" t="str">
        <f>'注音符號、電腦鍵盤與音標編碼'!D18</f>
        <v>ㄘ</v>
      </c>
      <c r="BM17" s="178" t="str">
        <f>'注音符號、電腦鍵盤與音標編碼'!E18</f>
        <v>ㄘ</v>
      </c>
      <c r="BN17" s="34" t="str">
        <f>'注音符號、電腦鍵盤與音標編碼'!F18</f>
        <v>c</v>
      </c>
      <c r="BO17" s="107" t="str">
        <f>'注音符號、電腦鍵盤與音標編碼'!G18</f>
        <v>c</v>
      </c>
      <c r="BP17" s="107"/>
      <c r="BR17" s="281" t="str">
        <f t="shared" si="1"/>
        <v>"h": { commit: "ㄘ" }</v>
      </c>
      <c r="BT17" s="195">
        <f t="shared" si="2"/>
        <v>14</v>
      </c>
      <c r="BU17" s="282" t="str">
        <f t="shared" si="3"/>
        <v>- xform/c/h/</v>
      </c>
      <c r="BW17" s="282" t="str">
        <f t="shared" si="4"/>
        <v>- xform/h/ㄘ/</v>
      </c>
    </row>
    <row r="18" spans="1:89" s="193" customFormat="1" ht="45" customHeight="1">
      <c r="A18" s="302"/>
      <c r="B18" s="339" t="s">
        <v>15</v>
      </c>
      <c r="C18" s="340"/>
      <c r="D18" s="341" t="str" cm="1">
        <f t="array" aca="1" ref="D18" ca="1" xml:space="preserve"> INDEX($BL$4:$BL$55, MATCH(TRUE, EXACT(D$17, $BK$4:$BK$55), 0))</f>
        <v>ㄅ</v>
      </c>
      <c r="E18" s="341" t="str" cm="1">
        <f t="array" aca="1" ref="E18" ca="1" xml:space="preserve"> INDEX($BL$4:$BL$55, MATCH(TRUE, EXACT(E$17, $BK$4:$BK$55), 0))</f>
        <v>ㄅㄏ</v>
      </c>
      <c r="F18" s="341" t="str" cm="1">
        <f t="array" aca="1" ref="F18" ca="1" xml:space="preserve"> INDEX($BL$4:$BL$55, MATCH(TRUE, EXACT(F$17, $BK$4:$BK$55), 0))</f>
        <v>ㄆ</v>
      </c>
      <c r="G18" s="341" t="str" cm="1">
        <f t="array" aca="1" ref="G18" ca="1" xml:space="preserve"> INDEX($BL$4:$BL$55, MATCH(TRUE, EXACT(G$17, $BK$4:$BK$55), 0))</f>
        <v>ㄇ</v>
      </c>
      <c r="H18" s="341" t="str" cm="1">
        <f t="array" aca="1" ref="H18" ca="1" xml:space="preserve"> INDEX($BL$4:$BL$55, MATCH(TRUE, EXACT(H$17, $BK$4:$BK$55), 0))</f>
        <v>ㄉ</v>
      </c>
      <c r="I18" s="341" t="str" cm="1">
        <f t="array" aca="1" ref="I18" ca="1" xml:space="preserve"> INDEX($BL$4:$BL$55, MATCH(TRUE, EXACT(I$17, $BK$4:$BK$55), 0))</f>
        <v>ㄊ</v>
      </c>
      <c r="J18" s="341" t="str" cm="1">
        <f t="array" aca="1" ref="J18" ca="1" xml:space="preserve"> INDEX($BL$4:$BL$55, MATCH(TRUE, EXACT(J$17, $BK$4:$BK$55), 0))</f>
        <v>ㄋ</v>
      </c>
      <c r="K18" s="341" t="str" cm="1">
        <f t="array" aca="1" ref="K18" ca="1" xml:space="preserve"> INDEX($BL$4:$BL$55, MATCH(TRUE, EXACT(K$17, $BK$4:$BK$55), 0))</f>
        <v>ㄌ</v>
      </c>
      <c r="L18" s="341" t="str" cm="1">
        <f t="array" aca="1" ref="L18" ca="1" xml:space="preserve"> INDEX($BL$4:$BL$55, MATCH(TRUE, EXACT(L$17, $BK$4:$BK$55), 0))</f>
        <v>ㄍ</v>
      </c>
      <c r="M18" s="341" t="str" cm="1">
        <f t="array" aca="1" ref="M18" ca="1" xml:space="preserve"> INDEX($BL$4:$BL$55, MATCH(TRUE, EXACT(M$17, $BK$4:$BK$55), 0))</f>
        <v>ㄍㄏ</v>
      </c>
      <c r="N18" s="341" t="str" cm="1">
        <f t="array" aca="1" ref="N18" ca="1" xml:space="preserve"> INDEX($BL$4:$BL$55, MATCH(TRUE, EXACT(N$17, $BK$4:$BK$55), 0))</f>
        <v>ㄎ</v>
      </c>
      <c r="O18" s="341" t="str" cm="1">
        <f t="array" aca="1" ref="O18" ca="1" xml:space="preserve"> INDEX($BL$4:$BL$55, MATCH(TRUE, EXACT(O$17, $BK$4:$BK$55), 0))</f>
        <v>ㄥ</v>
      </c>
      <c r="P18" s="341" t="str" cm="1">
        <f t="array" aca="1" ref="P18" ca="1" xml:space="preserve"> INDEX($BL$4:$BL$55, MATCH(TRUE, EXACT(P$17, $BK$4:$BK$55), 0))</f>
        <v>ㄗ</v>
      </c>
      <c r="Q18" s="341" t="str" cm="1">
        <f t="array" aca="1" ref="Q18" ca="1" xml:space="preserve"> INDEX($BL$4:$BL$55, MATCH(TRUE, EXACT(Q$17, $BK$4:$BK$55), 0))</f>
        <v>ㄘ</v>
      </c>
      <c r="R18" s="341" t="str" cm="1">
        <f t="array" aca="1" ref="R18" ca="1" xml:space="preserve"> INDEX($BL$4:$BL$55, MATCH(TRUE, EXACT(R$17, $BK$4:$BK$55), 0))</f>
        <v>ㄙ</v>
      </c>
      <c r="S18" s="341" t="str" cm="1">
        <f t="array" aca="1" ref="S18" ca="1" xml:space="preserve"> INDEX($BL$4:$BL$55, MATCH(TRUE, EXACT(S$17, $BK$4:$BK$55), 0))</f>
        <v>ㄖ</v>
      </c>
      <c r="T18" s="341" t="str" cm="1">
        <f t="array" aca="1" ref="T18" ca="1" xml:space="preserve"> INDEX($BL$4:$BL$55, MATCH(TRUE, EXACT(T$17, $BK$4:$BK$55), 0))</f>
        <v>ㄐ</v>
      </c>
      <c r="U18" s="341" t="str" cm="1">
        <f t="array" aca="1" ref="U18" ca="1" xml:space="preserve"> INDEX($BL$4:$BL$55, MATCH(TRUE, EXACT(U$17, $BK$4:$BK$55), 0))</f>
        <v>ㄑ</v>
      </c>
      <c r="V18" s="341" t="str" cm="1">
        <f t="array" aca="1" ref="V18" ca="1" xml:space="preserve"> INDEX($BL$4:$BL$55, MATCH(TRUE, EXACT(V$17, $BK$4:$BK$55), 0))</f>
        <v>ㄒ</v>
      </c>
      <c r="W18" s="341" t="str" cm="1">
        <f t="array" aca="1" ref="W18" ca="1" xml:space="preserve"> INDEX($BL$4:$BL$55, MATCH(TRUE, EXACT(W$17, $BK$4:$BK$55), 0))</f>
        <v>ㄖ</v>
      </c>
      <c r="X18" s="341" t="str" cm="1">
        <f t="array" aca="1" ref="X18" ca="1" xml:space="preserve"> INDEX($BL$4:$BL$55, MATCH(TRUE, EXACT(X$17, $BK$4:$BK$55), 0))</f>
        <v>ㄏ</v>
      </c>
      <c r="Y18" s="341" t="str" cm="1">
        <f t="array" aca="1" ref="Y18" ca="1" xml:space="preserve"> INDEX($BL$4:$BL$55, MATCH(TRUE, EXACT(Y$17, $BK$4:$BK$55), 0))</f>
        <v>ㄧ</v>
      </c>
      <c r="Z18" s="341" t="str" cm="1">
        <f t="array" aca="1" ref="Z18" ca="1" xml:space="preserve"> INDEX($BL$4:$BL$55, MATCH(TRUE, EXACT(Z$17, $BK$4:$BK$55), 0))</f>
        <v>ㄥㄧ</v>
      </c>
      <c r="AA18" s="341" t="str" cm="1">
        <f t="array" aca="1" ref="AA18" ca="1" xml:space="preserve"> INDEX($BL$4:$BL$55, MATCH(TRUE, EXACT(AA$17, $BK$4:$BK$55), 0))</f>
        <v>ㄨ</v>
      </c>
      <c r="AB18" s="341" t="str" cm="1">
        <f t="array" aca="1" ref="AB18" ca="1" xml:space="preserve"> INDEX($BL$4:$BL$55, MATCH(TRUE, EXACT(AB$17, $BK$4:$BK$55), 0))</f>
        <v>ㄥㄨ</v>
      </c>
      <c r="AC18" s="341" t="str" cm="1">
        <f t="array" aca="1" ref="AC18" ca="1" xml:space="preserve"> INDEX($BL$4:$BL$55, MATCH(TRUE, EXACT(AC$17, $BK$4:$BK$55), 0))</f>
        <v>ㄚ</v>
      </c>
      <c r="AD18" s="341" t="str" cm="1">
        <f t="array" aca="1" ref="AD18" ca="1" xml:space="preserve"> INDEX($BL$4:$BL$55, MATCH(TRUE, EXACT(AD$17, $BK$4:$BK$55), 0))</f>
        <v>ㄥㄚ</v>
      </c>
      <c r="AE18" s="341" t="str" cm="1">
        <f t="array" aca="1" ref="AE18" ca="1" xml:space="preserve"> INDEX($BL$4:$BL$55, MATCH(TRUE, EXACT(AE$17, $BK$4:$BK$55), 0))</f>
        <v>ㄝ</v>
      </c>
      <c r="AF18" s="341" t="str" cm="1">
        <f t="array" aca="1" ref="AF18" ca="1" xml:space="preserve"> INDEX($BL$4:$BL$55, MATCH(TRUE, EXACT(AF$17, $BK$4:$BK$55), 0))</f>
        <v>ㄥㄝ</v>
      </c>
      <c r="AG18" s="341" t="str" cm="1">
        <f t="array" aca="1" ref="AG18" ca="1" xml:space="preserve"> INDEX($BL$4:$BL$55, MATCH(TRUE, EXACT(AG$17, $BK$4:$BK$55), 0))</f>
        <v>ㄛ</v>
      </c>
      <c r="AH18" s="341" t="str" cm="1">
        <f t="array" aca="1" ref="AH18" ca="1" xml:space="preserve"> INDEX($BL$4:$BL$55, MATCH(TRUE, EXACT(AH$17, $BK$4:$BK$55), 0))</f>
        <v>ㄥㆦ</v>
      </c>
      <c r="AI18" s="341" t="str" cm="1">
        <f t="array" aca="1" ref="AI18" ca="1" xml:space="preserve"> INDEX($BL$4:$BL$55, MATCH(TRUE, EXACT(AI$17, $BK$4:$BK$55), 0))</f>
        <v>ㄜ</v>
      </c>
      <c r="AJ18" s="341" t="str" cm="1">
        <f t="array" aca="1" ref="AJ18" ca="1" xml:space="preserve"> INDEX($BL$4:$BL$55, MATCH(TRUE, EXACT(AJ$17, $BK$4:$BK$55), 0))</f>
        <v>ㄢ</v>
      </c>
      <c r="AK18" s="341" t="str" cm="1">
        <f t="array" aca="1" ref="AK18" ca="1" xml:space="preserve"> INDEX($BL$4:$BL$55, MATCH(TRUE, EXACT(AK$17, $BK$4:$BK$55), 0))</f>
        <v>ㄞ</v>
      </c>
      <c r="AL18" s="341" t="str" cm="1">
        <f t="array" aca="1" ref="AL18" ca="1" xml:space="preserve"> INDEX($BL$4:$BL$55, MATCH(TRUE, EXACT(AL$17, $BK$4:$BK$55), 0))</f>
        <v>ㄥㄞ</v>
      </c>
      <c r="AM18" s="341" t="str" cm="1">
        <f t="array" aca="1" ref="AM18" ca="1" xml:space="preserve"> INDEX($BL$4:$BL$55, MATCH(TRUE, EXACT(AM$17, $BK$4:$BK$55), 0))</f>
        <v>ㄠ</v>
      </c>
      <c r="AN18" s="341" t="str" cm="1">
        <f t="array" aca="1" ref="AN18" ca="1" xml:space="preserve"> INDEX($BL$4:$BL$55, MATCH(TRUE, EXACT(AN$17, $BK$4:$BK$55), 0))</f>
        <v>ㄥㄠ</v>
      </c>
      <c r="AO18" s="341" t="str" cm="1">
        <f t="array" aca="1" ref="AO18" ca="1" xml:space="preserve"> INDEX($BL$4:$BL$55, MATCH(TRUE, EXACT(AO$17, $BK$4:$BK$55), 0))</f>
        <v>ㄛㄇ</v>
      </c>
      <c r="AP18" s="341" t="str" cm="1">
        <f t="array" aca="1" ref="AP18" ca="1" xml:space="preserve"> INDEX($BL$4:$BL$55, MATCH(TRUE, EXACT(AP$17, $BK$4:$BK$55), 0))</f>
        <v>ㄚㄇ</v>
      </c>
      <c r="AQ18" s="341" t="str" cm="1">
        <f t="array" aca="1" ref="AQ18" ca="1" xml:space="preserve"> INDEX($BL$4:$BL$55, MATCH(TRUE, EXACT(AQ$17, $BK$4:$BK$55), 0))</f>
        <v>ㄛㄥ</v>
      </c>
      <c r="AR18" s="341" t="str" cm="1">
        <f t="array" aca="1" ref="AR18" ca="1" xml:space="preserve"> INDEX($BL$4:$BL$55, MATCH(TRUE, EXACT(AR$17, $BK$4:$BK$55), 0))</f>
        <v>ㄤ</v>
      </c>
      <c r="AS18" s="341" t="str" cm="1">
        <f t="array" aca="1" ref="AS18" ca="1" xml:space="preserve"> INDEX($BL$4:$BL$55, MATCH(TRUE, EXACT(AS$17, $BK$4:$BK$55), 0))</f>
        <v>ㄦ</v>
      </c>
      <c r="AT18" s="341" t="str" cm="1">
        <f t="array" aca="1" ref="AT18" ca="1" xml:space="preserve"> INDEX($BL$4:$BL$55, MATCH(TRUE, EXACT(AT$17, $BK$4:$BK$55), 0))</f>
        <v>ㄥ</v>
      </c>
      <c r="AU18" s="341" t="str" cm="1">
        <f t="array" aca="1" ref="AU18" ca="1" xml:space="preserve"> INDEX($BL$4:$BL$55, MATCH(TRUE, EXACT(AU$17, $BK$4:$BK$55), 0))</f>
        <v>ㄇ</v>
      </c>
      <c r="AV18" s="341" t="str" cm="1">
        <f t="array" aca="1" ref="AV18" ca="1" xml:space="preserve"> INDEX($BL$4:$BL$55, MATCH(TRUE, EXACT(AV$17, $BK$4:$BK$55), 0))</f>
        <v>ㄣ</v>
      </c>
      <c r="AW18" s="341" t="str" cm="1">
        <f t="array" aca="1" ref="AW18" ca="1" xml:space="preserve"> INDEX($BL$4:$BL$55, MATCH(TRUE, EXACT(AW$17, $BK$4:$BK$55), 0))</f>
        <v>鼻</v>
      </c>
      <c r="AX18" s="341" t="str" cm="1">
        <f t="array" aca="1" ref="AX18" ca="1" xml:space="preserve"> INDEX($BL$4:$BL$55, MATCH(TRUE, EXACT(AX$17, $BK$4:$BK$55), 0))</f>
        <v>ˉ</v>
      </c>
      <c r="AY18" s="341" t="str" cm="1">
        <f t="array" aca="1" ref="AY18" ca="1" xml:space="preserve"> INDEX($BL$4:$BL$55, MATCH(TRUE, EXACT(AY$17, $BK$4:$BK$55), 0))</f>
        <v>ˋ</v>
      </c>
      <c r="AZ18" s="341" t="str" cm="1">
        <f t="array" aca="1" ref="AZ18" ca="1" xml:space="preserve"> INDEX($BL$4:$BL$55, MATCH(TRUE, EXACT(AZ$17, $BK$4:$BK$55), 0))</f>
        <v>'</v>
      </c>
      <c r="BA18" s="341" t="str" cm="1">
        <f t="array" aca="1" ref="BA18" ca="1" xml:space="preserve"> INDEX($BL$4:$BL$55, MATCH(TRUE, EXACT(BA$17, $BK$4:$BK$55), 0))</f>
        <v>ˇ</v>
      </c>
      <c r="BB18" s="341" t="str" cm="1">
        <f t="array" aca="1" ref="BB18" ca="1" xml:space="preserve"> INDEX($BL$4:$BL$55, MATCH(TRUE, EXACT(BB$17, $BK$4:$BK$55), 0))</f>
        <v>"</v>
      </c>
      <c r="BC18" s="341" t="str" cm="1">
        <f t="array" aca="1" ref="BC18" ca="1" xml:space="preserve"> INDEX($BL$4:$BL$55, MATCH(TRUE, EXACT(BC$17, $BK$4:$BK$55), 0))</f>
        <v>ˊ</v>
      </c>
      <c r="BD18" s="147"/>
      <c r="BE18" s="147"/>
      <c r="BF18" s="147"/>
      <c r="BG18" s="147"/>
      <c r="BJ18" s="280">
        <f t="shared" si="0"/>
        <v>15</v>
      </c>
      <c r="BK18" s="71" t="str">
        <f>'注音符號、電腦鍵盤與音標編碼'!C19</f>
        <v>n</v>
      </c>
      <c r="BL18" s="32" t="str">
        <f>'注音符號、電腦鍵盤與音標編碼'!D19</f>
        <v>ㄙ</v>
      </c>
      <c r="BM18" s="178" t="str">
        <f>'注音符號、電腦鍵盤與音標編碼'!E19</f>
        <v>ㄙ</v>
      </c>
      <c r="BN18" s="34" t="str">
        <f>'注音符號、電腦鍵盤與音標編碼'!F19</f>
        <v>s</v>
      </c>
      <c r="BO18" s="107" t="str">
        <f>'注音符號、電腦鍵盤與音標編碼'!G19</f>
        <v>s</v>
      </c>
      <c r="BP18" s="107"/>
      <c r="BR18" s="281" t="str">
        <f t="shared" si="1"/>
        <v>"n": { commit: "ㄙ" }</v>
      </c>
      <c r="BT18" s="195">
        <f t="shared" si="2"/>
        <v>15</v>
      </c>
      <c r="BU18" s="282" t="str">
        <f t="shared" si="3"/>
        <v>- xform/s/n/</v>
      </c>
      <c r="BW18" s="282" t="str">
        <f t="shared" si="4"/>
        <v>- xform/n/ㄙ/</v>
      </c>
    </row>
    <row r="19" spans="1:89" s="193" customFormat="1" ht="45" customHeight="1">
      <c r="A19" s="302"/>
      <c r="B19" s="342" t="s">
        <v>386</v>
      </c>
      <c r="C19" s="343"/>
      <c r="D19" s="344" t="str" cm="1">
        <f t="array" aca="1" ref="D19" ca="1" xml:space="preserve"> INDEX($BM$4:$BM$55, MATCH(TRUE, EXACT(D$17, $BK$4:$BK$55), 0))</f>
        <v>ㄅ</v>
      </c>
      <c r="E19" s="344" t="str" cm="1">
        <f t="array" aca="1" ref="E19" ca="1" xml:space="preserve"> INDEX($BM$4:$BM$55, MATCH(TRUE, EXACT(E$17, $BK$4:$BK$55), 0))</f>
        <v>ㆠ</v>
      </c>
      <c r="F19" s="344" t="str" cm="1">
        <f t="array" aca="1" ref="F19" ca="1" xml:space="preserve"> INDEX($BM$4:$BM$55, MATCH(TRUE, EXACT(F$17, $BK$4:$BK$55), 0))</f>
        <v>ㄆ</v>
      </c>
      <c r="G19" s="344" t="str" cm="1">
        <f t="array" aca="1" ref="G19" ca="1" xml:space="preserve"> INDEX($BM$4:$BM$55, MATCH(TRUE, EXACT(G$17, $BK$4:$BK$55), 0))</f>
        <v>ㄇ</v>
      </c>
      <c r="H19" s="344" t="str" cm="1">
        <f t="array" aca="1" ref="H19" ca="1" xml:space="preserve"> INDEX($BM$4:$BM$55, MATCH(TRUE, EXACT(H$17, $BK$4:$BK$55), 0))</f>
        <v>ㄉ</v>
      </c>
      <c r="I19" s="344" t="str" cm="1">
        <f t="array" aca="1" ref="I19" ca="1" xml:space="preserve"> INDEX($BM$4:$BM$55, MATCH(TRUE, EXACT(I$17, $BK$4:$BK$55), 0))</f>
        <v>ㄊ</v>
      </c>
      <c r="J19" s="344" t="str" cm="1">
        <f t="array" aca="1" ref="J19" ca="1" xml:space="preserve"> INDEX($BM$4:$BM$55, MATCH(TRUE, EXACT(J$17, $BK$4:$BK$55), 0))</f>
        <v>ㄋ</v>
      </c>
      <c r="K19" s="344" t="str" cm="1">
        <f t="array" aca="1" ref="K19" ca="1" xml:space="preserve"> INDEX($BM$4:$BM$55, MATCH(TRUE, EXACT(K$17, $BK$4:$BK$55), 0))</f>
        <v>ㄌ</v>
      </c>
      <c r="L19" s="344" t="str" cm="1">
        <f t="array" aca="1" ref="L19" ca="1" xml:space="preserve"> INDEX($BM$4:$BM$55, MATCH(TRUE, EXACT(L$17, $BK$4:$BK$55), 0))</f>
        <v>ㄍ</v>
      </c>
      <c r="M19" s="344" t="str" cm="1">
        <f t="array" aca="1" ref="M19" ca="1" xml:space="preserve"> INDEX($BM$4:$BM$55, MATCH(TRUE, EXACT(M$17, $BK$4:$BK$55), 0))</f>
        <v>ㆣ</v>
      </c>
      <c r="N19" s="344" t="str" cm="1">
        <f t="array" aca="1" ref="N19" ca="1" xml:space="preserve"> INDEX($BM$4:$BM$55, MATCH(TRUE, EXACT(N$17, $BK$4:$BK$55), 0))</f>
        <v>ㄎ</v>
      </c>
      <c r="O19" s="344" t="str" cm="1">
        <f t="array" aca="1" ref="O19" ca="1" xml:space="preserve"> INDEX($BM$4:$BM$55, MATCH(TRUE, EXACT(O$17, $BK$4:$BK$55), 0))</f>
        <v>ㄫ</v>
      </c>
      <c r="P19" s="344" t="str" cm="1">
        <f t="array" aca="1" ref="P19" ca="1" xml:space="preserve"> INDEX($BM$4:$BM$55, MATCH(TRUE, EXACT(P$17, $BK$4:$BK$55), 0))</f>
        <v>ㄗ</v>
      </c>
      <c r="Q19" s="344" t="str" cm="1">
        <f t="array" aca="1" ref="Q19" ca="1" xml:space="preserve"> INDEX($BM$4:$BM$55, MATCH(TRUE, EXACT(Q$17, $BK$4:$BK$55), 0))</f>
        <v>ㄘ</v>
      </c>
      <c r="R19" s="344" t="str" cm="1">
        <f t="array" aca="1" ref="R19" ca="1" xml:space="preserve"> INDEX($BM$4:$BM$55, MATCH(TRUE, EXACT(R$17, $BK$4:$BK$55), 0))</f>
        <v>ㄙ</v>
      </c>
      <c r="S19" s="344" t="str" cm="1">
        <f t="array" aca="1" ref="S19" ca="1" xml:space="preserve"> INDEX($BM$4:$BM$55, MATCH(TRUE, EXACT(S$17, $BK$4:$BK$55), 0))</f>
        <v>ㆡ</v>
      </c>
      <c r="T19" s="344" t="str" cm="1">
        <f t="array" aca="1" ref="T19" ca="1" xml:space="preserve"> INDEX($BM$4:$BM$55, MATCH(TRUE, EXACT(T$17, $BK$4:$BK$55), 0))</f>
        <v>ㄐ</v>
      </c>
      <c r="U19" s="344" t="str" cm="1">
        <f t="array" aca="1" ref="U19" ca="1" xml:space="preserve"> INDEX($BM$4:$BM$55, MATCH(TRUE, EXACT(U$17, $BK$4:$BK$55), 0))</f>
        <v>ㄑ</v>
      </c>
      <c r="V19" s="344" t="str" cm="1">
        <f t="array" aca="1" ref="V19" ca="1" xml:space="preserve"> INDEX($BM$4:$BM$55, MATCH(TRUE, EXACT(V$17, $BK$4:$BK$55), 0))</f>
        <v>ㄒ</v>
      </c>
      <c r="W19" s="344" t="str" cm="1">
        <f t="array" aca="1" ref="W19" ca="1" xml:space="preserve"> INDEX($BM$4:$BM$55, MATCH(TRUE, EXACT(W$17, $BK$4:$BK$55), 0))</f>
        <v>ㆢ</v>
      </c>
      <c r="X19" s="344" t="str" cm="1">
        <f t="array" aca="1" ref="X19" ca="1" xml:space="preserve"> INDEX($BM$4:$BM$55, MATCH(TRUE, EXACT(X$17, $BK$4:$BK$55), 0))</f>
        <v>ㄏ</v>
      </c>
      <c r="Y19" s="344" t="str" cm="1">
        <f t="array" aca="1" ref="Y19" ca="1" xml:space="preserve"> INDEX($BM$4:$BM$55, MATCH(TRUE, EXACT(Y$17, $BK$4:$BK$55), 0))</f>
        <v>ㄧ</v>
      </c>
      <c r="Z19" s="344" t="str" cm="1">
        <f t="array" aca="1" ref="Z19" ca="1" xml:space="preserve"> INDEX($BM$4:$BM$55, MATCH(TRUE, EXACT(Z$17, $BK$4:$BK$55), 0))</f>
        <v>ㆪ</v>
      </c>
      <c r="AA19" s="344" t="str" cm="1">
        <f t="array" aca="1" ref="AA19" ca="1" xml:space="preserve"> INDEX($BM$4:$BM$55, MATCH(TRUE, EXACT(AA$17, $BK$4:$BK$55), 0))</f>
        <v>ㄨ</v>
      </c>
      <c r="AB19" s="344" t="str" cm="1">
        <f t="array" aca="1" ref="AB19" ca="1" xml:space="preserve"> INDEX($BM$4:$BM$55, MATCH(TRUE, EXACT(AB$17, $BK$4:$BK$55), 0))</f>
        <v>ㆫ</v>
      </c>
      <c r="AC19" s="344" t="str" cm="1">
        <f t="array" aca="1" ref="AC19" ca="1" xml:space="preserve"> INDEX($BM$4:$BM$55, MATCH(TRUE, EXACT(AC$17, $BK$4:$BK$55), 0))</f>
        <v>ㄚ</v>
      </c>
      <c r="AD19" s="344" t="str" cm="1">
        <f t="array" aca="1" ref="AD19" ca="1" xml:space="preserve"> INDEX($BM$4:$BM$55, MATCH(TRUE, EXACT(AD$17, $BK$4:$BK$55), 0))</f>
        <v>ㆩ</v>
      </c>
      <c r="AE19" s="344" t="str" cm="1">
        <f t="array" aca="1" ref="AE19" ca="1" xml:space="preserve"> INDEX($BM$4:$BM$55, MATCH(TRUE, EXACT(AE$17, $BK$4:$BK$55), 0))</f>
        <v>ㆤ</v>
      </c>
      <c r="AF19" s="344" t="str" cm="1">
        <f t="array" aca="1" ref="AF19" ca="1" xml:space="preserve"> INDEX($BM$4:$BM$55, MATCH(TRUE, EXACT(AF$17, $BK$4:$BK$55), 0))</f>
        <v>ㆥ</v>
      </c>
      <c r="AG19" s="344" t="str" cm="1">
        <f t="array" aca="1" ref="AG19" ca="1" xml:space="preserve"> INDEX($BM$4:$BM$55, MATCH(TRUE, EXACT(AG$17, $BK$4:$BK$55), 0))</f>
        <v>ㆦ</v>
      </c>
      <c r="AH19" s="344" t="str" cm="1">
        <f t="array" aca="1" ref="AH19" ca="1" xml:space="preserve"> INDEX($BM$4:$BM$55, MATCH(TRUE, EXACT(AH$17, $BK$4:$BK$55), 0))</f>
        <v>ㆧ</v>
      </c>
      <c r="AI19" s="344" t="str" cm="1">
        <f t="array" aca="1" ref="AI19" ca="1" xml:space="preserve"> INDEX($BM$4:$BM$55, MATCH(TRUE, EXACT(AI$17, $BK$4:$BK$55), 0))</f>
        <v>ㄜ</v>
      </c>
      <c r="AJ19" s="344" t="str" cm="1">
        <f t="array" aca="1" ref="AJ19" ca="1" xml:space="preserve"> INDEX($BM$4:$BM$55, MATCH(TRUE, EXACT(AJ$17, $BK$4:$BK$55), 0))</f>
        <v>ㄢ</v>
      </c>
      <c r="AK19" s="344" t="str" cm="1">
        <f t="array" aca="1" ref="AK19" ca="1" xml:space="preserve"> INDEX($BM$4:$BM$55, MATCH(TRUE, EXACT(AK$17, $BK$4:$BK$55), 0))</f>
        <v>ㄞ</v>
      </c>
      <c r="AL19" s="344" t="str" cm="1">
        <f t="array" aca="1" ref="AL19" ca="1" xml:space="preserve"> INDEX($BM$4:$BM$55, MATCH(TRUE, EXACT(AL$17, $BK$4:$BK$55), 0))</f>
        <v>ㆮ</v>
      </c>
      <c r="AM19" s="344" t="str" cm="1">
        <f t="array" aca="1" ref="AM19" ca="1" xml:space="preserve"> INDEX($BM$4:$BM$55, MATCH(TRUE, EXACT(AM$17, $BK$4:$BK$55), 0))</f>
        <v>ㄠ</v>
      </c>
      <c r="AN19" s="344" t="str" cm="1">
        <f t="array" aca="1" ref="AN19" ca="1" xml:space="preserve"> INDEX($BM$4:$BM$55, MATCH(TRUE, EXACT(AN$17, $BK$4:$BK$55), 0))</f>
        <v>ㆯ</v>
      </c>
      <c r="AO19" s="344" t="str" cm="1">
        <f t="array" aca="1" ref="AO19" ca="1" xml:space="preserve"> INDEX($BM$4:$BM$55, MATCH(TRUE, EXACT(AO$17, $BK$4:$BK$55), 0))</f>
        <v>ㆱ</v>
      </c>
      <c r="AP19" s="344" t="str" cm="1">
        <f t="array" aca="1" ref="AP19" ca="1" xml:space="preserve"> INDEX($BM$4:$BM$55, MATCH(TRUE, EXACT(AP$17, $BK$4:$BK$55), 0))</f>
        <v>ㆰ</v>
      </c>
      <c r="AQ19" s="344" t="str" cm="1">
        <f t="array" aca="1" ref="AQ19" ca="1" xml:space="preserve"> INDEX($BM$4:$BM$55, MATCH(TRUE, EXACT(AQ$17, $BK$4:$BK$55), 0))</f>
        <v>ㆲ</v>
      </c>
      <c r="AR19" s="344" t="str" cm="1">
        <f t="array" aca="1" ref="AR19" ca="1" xml:space="preserve"> INDEX($BM$4:$BM$55, MATCH(TRUE, EXACT(AR$17, $BK$4:$BK$55), 0))</f>
        <v>ㄤ</v>
      </c>
      <c r="AS19" s="344" t="str" cm="1">
        <f t="array" aca="1" ref="AS19" ca="1" xml:space="preserve"> INDEX($BM$4:$BM$55, MATCH(TRUE, EXACT(AS$17, $BK$4:$BK$55), 0))</f>
        <v>ㆨ</v>
      </c>
      <c r="AT19" s="344" t="str" cm="1">
        <f t="array" aca="1" ref="AT19" ca="1" xml:space="preserve"> INDEX($BM$4:$BM$55, MATCH(TRUE, EXACT(AT$17, $BK$4:$BK$55), 0))</f>
        <v>ㆭ</v>
      </c>
      <c r="AU19" s="344" t="str" cm="1">
        <f t="array" aca="1" ref="AU19" ca="1" xml:space="preserve"> INDEX($BM$4:$BM$55, MATCH(TRUE, EXACT(AU$17, $BK$4:$BK$55), 0))</f>
        <v>ㆬ</v>
      </c>
      <c r="AV19" s="344" t="str" cm="1">
        <f t="array" aca="1" ref="AV19" ca="1" xml:space="preserve"> INDEX($BM$4:$BM$55, MATCH(TRUE, EXACT(AV$17, $BK$4:$BK$55), 0))</f>
        <v>ㄣ</v>
      </c>
      <c r="AW19" s="344" t="str" cm="1">
        <f t="array" aca="1" ref="AW19" ca="1" xml:space="preserve"> INDEX($BM$4:$BM$55, MATCH(TRUE, EXACT(AW$17, $BK$4:$BK$55), 0))</f>
        <v>鼻</v>
      </c>
      <c r="AX19" s="344" t="str" cm="1">
        <f t="array" aca="1" ref="AX19" ca="1" xml:space="preserve"> INDEX($BM$4:$BM$55, MATCH(TRUE, EXACT(AX$17, $BK$4:$BK$55), 0))</f>
        <v>ˉ</v>
      </c>
      <c r="AY19" s="344" t="str" cm="1">
        <f t="array" aca="1" ref="AY19" ca="1" xml:space="preserve"> INDEX($BM$4:$BM$55, MATCH(TRUE, EXACT(AY$17, $BK$4:$BK$55), 0))</f>
        <v>ˋ</v>
      </c>
      <c r="AZ19" s="344" t="str" cm="1">
        <f t="array" aca="1" ref="AZ19" ca="1" xml:space="preserve"> INDEX($BM$4:$BM$55, MATCH(TRUE, EXACT(AZ$17, $BK$4:$BK$55), 0))</f>
        <v>˪</v>
      </c>
      <c r="BA19" s="344" t="str" cm="1">
        <f t="array" aca="1" ref="BA19" ca="1" xml:space="preserve"> INDEX($BM$4:$BM$55, MATCH(TRUE, EXACT(BA$17, $BK$4:$BK$55), 0))</f>
        <v>ˊ</v>
      </c>
      <c r="BB19" s="344" t="str" cm="1">
        <f t="array" aca="1" ref="BB19" ca="1" xml:space="preserve"> INDEX($BM$4:$BM$55, MATCH(TRUE, EXACT(BB$17, $BK$4:$BK$55), 0))</f>
        <v>˫</v>
      </c>
      <c r="BC19" s="344" t="str" cm="1">
        <f t="array" aca="1" ref="BC19" ca="1" xml:space="preserve"> INDEX($BM$4:$BM$55, MATCH(TRUE, EXACT(BC$17, $BK$4:$BK$55), 0))</f>
        <v>˙</v>
      </c>
      <c r="BD19" s="147"/>
      <c r="BE19" s="147"/>
      <c r="BF19" s="147"/>
      <c r="BG19" s="147"/>
      <c r="BJ19" s="280">
        <f t="shared" si="0"/>
        <v>16</v>
      </c>
      <c r="BK19" s="71" t="str">
        <f>'注音符號、電腦鍵盤與音標編碼'!C20</f>
        <v>b</v>
      </c>
      <c r="BL19" s="32" t="str">
        <f>'注音符號、電腦鍵盤與音標編碼'!D20</f>
        <v>ㄖ</v>
      </c>
      <c r="BM19" s="178" t="str">
        <f>'注音符號、電腦鍵盤與音標編碼'!E20</f>
        <v>ㆡ</v>
      </c>
      <c r="BN19" s="34" t="str">
        <f>'注音符號、電腦鍵盤與音標編碼'!F20</f>
        <v>j</v>
      </c>
      <c r="BO19" s="107" t="str">
        <f>'注音符號、電腦鍵盤與音標編碼'!G20</f>
        <v>j</v>
      </c>
      <c r="BP19" s="107"/>
      <c r="BR19" s="281" t="str">
        <f t="shared" si="1"/>
        <v>"b": { commit: "ㄖ" }</v>
      </c>
      <c r="BT19" s="195">
        <f t="shared" si="2"/>
        <v>16</v>
      </c>
      <c r="BU19" s="282" t="str">
        <f t="shared" si="3"/>
        <v>- xform/j/b/</v>
      </c>
      <c r="BW19" s="282" t="str">
        <f t="shared" si="4"/>
        <v>- xform/b/ㄖ/</v>
      </c>
    </row>
    <row r="20" spans="1:89" ht="45" customHeight="1">
      <c r="A20" s="302"/>
      <c r="B20" s="306" t="s">
        <v>388</v>
      </c>
      <c r="C20" s="307"/>
      <c r="D20" s="308" t="str" cm="1">
        <f t="array" aca="1" ref="D20" ca="1" xml:space="preserve"> INDEX($BO$4:$BO$55, MATCH(TRUE, EXACT(D$17, $BK$4:$BK$55), 0))</f>
        <v>p</v>
      </c>
      <c r="E20" s="308" t="str" cm="1">
        <f t="array" aca="1" ref="E20" ca="1" xml:space="preserve"> INDEX($BO$4:$BO$55, MATCH(TRUE, EXACT(E$17, $BK$4:$BK$55), 0))</f>
        <v>b</v>
      </c>
      <c r="F20" s="308" t="str" cm="1">
        <f t="array" aca="1" ref="F20" ca="1" xml:space="preserve"> INDEX($BO$4:$BO$55, MATCH(TRUE, EXACT(F$17, $BK$4:$BK$55), 0))</f>
        <v>ph</v>
      </c>
      <c r="G20" s="308" t="str" cm="1">
        <f t="array" aca="1" ref="G20" ca="1" xml:space="preserve"> INDEX($BO$4:$BO$55, MATCH(TRUE, EXACT(G$17, $BK$4:$BK$55), 0))</f>
        <v>m</v>
      </c>
      <c r="H20" s="308" t="str" cm="1">
        <f t="array" aca="1" ref="H20" ca="1" xml:space="preserve"> INDEX($BO$4:$BO$55, MATCH(TRUE, EXACT(H$17, $BK$4:$BK$55), 0))</f>
        <v>t</v>
      </c>
      <c r="I20" s="308" t="str" cm="1">
        <f t="array" aca="1" ref="I20" ca="1" xml:space="preserve"> INDEX($BO$4:$BO$55, MATCH(TRUE, EXACT(I$17, $BK$4:$BK$55), 0))</f>
        <v>th</v>
      </c>
      <c r="J20" s="308" t="str" cm="1">
        <f t="array" aca="1" ref="J20" ca="1" xml:space="preserve"> INDEX($BO$4:$BO$55, MATCH(TRUE, EXACT(J$17, $BK$4:$BK$55), 0))</f>
        <v>n</v>
      </c>
      <c r="K20" s="308" t="str" cm="1">
        <f t="array" aca="1" ref="K20" ca="1" xml:space="preserve"> INDEX($BO$4:$BO$55, MATCH(TRUE, EXACT(K$17, $BK$4:$BK$55), 0))</f>
        <v>l</v>
      </c>
      <c r="L20" s="308" t="str" cm="1">
        <f t="array" aca="1" ref="L20" ca="1" xml:space="preserve"> INDEX($BO$4:$BO$55, MATCH(TRUE, EXACT(L$17, $BK$4:$BK$55), 0))</f>
        <v>k</v>
      </c>
      <c r="M20" s="308" t="str" cm="1">
        <f t="array" aca="1" ref="M20" ca="1" xml:space="preserve"> INDEX($BO$4:$BO$55, MATCH(TRUE, EXACT(M$17, $BK$4:$BK$55), 0))</f>
        <v>g</v>
      </c>
      <c r="N20" s="308" t="str" cm="1">
        <f t="array" aca="1" ref="N20" ca="1" xml:space="preserve"> INDEX($BO$4:$BO$55, MATCH(TRUE, EXACT(N$17, $BK$4:$BK$55), 0))</f>
        <v>kh</v>
      </c>
      <c r="O20" s="308" t="str" cm="1">
        <f t="array" aca="1" ref="O20" ca="1" xml:space="preserve"> INDEX($BO$4:$BO$55, MATCH(TRUE, EXACT(O$17, $BK$4:$BK$55), 0))</f>
        <v>ng</v>
      </c>
      <c r="P20" s="308" t="str" cm="1">
        <f t="array" aca="1" ref="P20" ca="1" xml:space="preserve"> INDEX($BO$4:$BO$55, MATCH(TRUE, EXACT(P$17, $BK$4:$BK$55), 0))</f>
        <v>z</v>
      </c>
      <c r="Q20" s="308" t="str" cm="1">
        <f t="array" aca="1" ref="Q20" ca="1" xml:space="preserve"> INDEX($BO$4:$BO$55, MATCH(TRUE, EXACT(Q$17, $BK$4:$BK$55), 0))</f>
        <v>c</v>
      </c>
      <c r="R20" s="308" t="str" cm="1">
        <f t="array" aca="1" ref="R20" ca="1" xml:space="preserve"> INDEX($BO$4:$BO$55, MATCH(TRUE, EXACT(R$17, $BK$4:$BK$55), 0))</f>
        <v>s</v>
      </c>
      <c r="S20" s="308" t="str" cm="1">
        <f t="array" aca="1" ref="S20" ca="1" xml:space="preserve"> INDEX($BO$4:$BO$55, MATCH(TRUE, EXACT(S$17, $BK$4:$BK$55), 0))</f>
        <v>j</v>
      </c>
      <c r="T20" s="308" t="str" cm="1">
        <f t="array" aca="1" ref="T20" ca="1" xml:space="preserve"> INDEX($BO$4:$BO$55, MATCH(TRUE, EXACT(T$17, $BK$4:$BK$55), 0))</f>
        <v>zi-</v>
      </c>
      <c r="U20" s="308" t="str" cm="1">
        <f t="array" aca="1" ref="U20" ca="1" xml:space="preserve"> INDEX($BO$4:$BO$55, MATCH(TRUE, EXACT(U$17, $BK$4:$BK$55), 0))</f>
        <v>ci-</v>
      </c>
      <c r="V20" s="308" t="str" cm="1">
        <f t="array" aca="1" ref="V20" ca="1" xml:space="preserve"> INDEX($BO$4:$BO$55, MATCH(TRUE, EXACT(V$17, $BK$4:$BK$55), 0))</f>
        <v>si-</v>
      </c>
      <c r="W20" s="308" t="str" cm="1">
        <f t="array" aca="1" ref="W20" ca="1" xml:space="preserve"> INDEX($BO$4:$BO$55, MATCH(TRUE, EXACT(W$17, $BK$4:$BK$55), 0))</f>
        <v>ji-</v>
      </c>
      <c r="X20" s="308" t="str" cm="1">
        <f t="array" aca="1" ref="X20" ca="1" xml:space="preserve"> INDEX($BO$4:$BO$55, MATCH(TRUE, EXACT(X$17, $BK$4:$BK$55), 0))</f>
        <v>h</v>
      </c>
      <c r="Y20" s="308" t="str" cm="1">
        <f t="array" aca="1" ref="Y20" ca="1" xml:space="preserve"> INDEX($BO$4:$BO$55, MATCH(TRUE, EXACT(Y$17, $BK$4:$BK$55), 0))</f>
        <v>i</v>
      </c>
      <c r="Z20" s="308" t="str" cm="1">
        <f t="array" aca="1" ref="Z20" ca="1" xml:space="preserve"> INDEX($BO$4:$BO$55, MATCH(TRUE, EXACT(Z$17, $BK$4:$BK$55), 0))</f>
        <v>Ni</v>
      </c>
      <c r="AA20" s="308" t="str" cm="1">
        <f t="array" aca="1" ref="AA20" ca="1" xml:space="preserve"> INDEX($BO$4:$BO$55, MATCH(TRUE, EXACT(AA$17, $BK$4:$BK$55), 0))</f>
        <v>u</v>
      </c>
      <c r="AB20" s="308" t="str" cm="1">
        <f t="array" aca="1" ref="AB20" ca="1" xml:space="preserve"> INDEX($BO$4:$BO$55, MATCH(TRUE, EXACT(AB$17, $BK$4:$BK$55), 0))</f>
        <v>Nu</v>
      </c>
      <c r="AC20" s="308" t="str" cm="1">
        <f t="array" aca="1" ref="AC20" ca="1" xml:space="preserve"> INDEX($BO$4:$BO$55, MATCH(TRUE, EXACT(AC$17, $BK$4:$BK$55), 0))</f>
        <v>a</v>
      </c>
      <c r="AD20" s="308" t="str" cm="1">
        <f t="array" aca="1" ref="AD20" ca="1" xml:space="preserve"> INDEX($BO$4:$BO$55, MATCH(TRUE, EXACT(AD$17, $BK$4:$BK$55), 0))</f>
        <v>Na</v>
      </c>
      <c r="AE20" s="308" t="str" cm="1">
        <f t="array" aca="1" ref="AE20" ca="1" xml:space="preserve"> INDEX($BO$4:$BO$55, MATCH(TRUE, EXACT(AE$17, $BK$4:$BK$55), 0))</f>
        <v>e</v>
      </c>
      <c r="AF20" s="308" t="str" cm="1">
        <f t="array" aca="1" ref="AF20" ca="1" xml:space="preserve"> INDEX($BO$4:$BO$55, MATCH(TRUE, EXACT(AF$17, $BK$4:$BK$55), 0))</f>
        <v>Ne</v>
      </c>
      <c r="AG20" s="308" t="str" cm="1">
        <f t="array" aca="1" ref="AG20" ca="1" xml:space="preserve"> INDEX($BO$4:$BO$55, MATCH(TRUE, EXACT(AG$17, $BK$4:$BK$55), 0))</f>
        <v>oo</v>
      </c>
      <c r="AH20" s="308" t="str" cm="1">
        <f t="array" aca="1" ref="AH20" ca="1" xml:space="preserve"> INDEX($BO$4:$BO$55, MATCH(TRUE, EXACT(AH$17, $BK$4:$BK$55), 0))</f>
        <v>Noo</v>
      </c>
      <c r="AI20" s="308" t="str" cm="1">
        <f t="array" aca="1" ref="AI20" ca="1" xml:space="preserve"> INDEX($BO$4:$BO$55, MATCH(TRUE, EXACT(AI$17, $BK$4:$BK$55), 0))</f>
        <v>o</v>
      </c>
      <c r="AJ20" s="308" t="str" cm="1">
        <f t="array" aca="1" ref="AJ20" ca="1" xml:space="preserve"> INDEX($BO$4:$BO$55, MATCH(TRUE, EXACT(AJ$17, $BK$4:$BK$55), 0))</f>
        <v>an</v>
      </c>
      <c r="AK20" s="308" t="str" cm="1">
        <f t="array" aca="1" ref="AK20" ca="1" xml:space="preserve"> INDEX($BO$4:$BO$55, MATCH(TRUE, EXACT(AK$17, $BK$4:$BK$55), 0))</f>
        <v>ai</v>
      </c>
      <c r="AL20" s="308" t="str" cm="1">
        <f t="array" aca="1" ref="AL20" ca="1" xml:space="preserve"> INDEX($BO$4:$BO$55, MATCH(TRUE, EXACT(AL$17, $BK$4:$BK$55), 0))</f>
        <v>Nai</v>
      </c>
      <c r="AM20" s="308" t="str" cm="1">
        <f t="array" aca="1" ref="AM20" ca="1" xml:space="preserve"> INDEX($BO$4:$BO$55, MATCH(TRUE, EXACT(AM$17, $BK$4:$BK$55), 0))</f>
        <v>au</v>
      </c>
      <c r="AN20" s="308" t="str" cm="1">
        <f t="array" aca="1" ref="AN20" ca="1" xml:space="preserve"> INDEX($BO$4:$BO$55, MATCH(TRUE, EXACT(AN$17, $BK$4:$BK$55), 0))</f>
        <v>Nau</v>
      </c>
      <c r="AO20" s="308" t="str" cm="1">
        <f t="array" aca="1" ref="AO20" ca="1" xml:space="preserve"> INDEX($BO$4:$BO$55, MATCH(TRUE, EXACT(AO$17, $BK$4:$BK$55), 0))</f>
        <v>om</v>
      </c>
      <c r="AP20" s="308" t="str" cm="1">
        <f t="array" aca="1" ref="AP20" ca="1" xml:space="preserve"> INDEX($BO$4:$BO$55, MATCH(TRUE, EXACT(AP$17, $BK$4:$BK$55), 0))</f>
        <v>am</v>
      </c>
      <c r="AQ20" s="308" t="str" cm="1">
        <f t="array" aca="1" ref="AQ20" ca="1" xml:space="preserve"> INDEX($BO$4:$BO$55, MATCH(TRUE, EXACT(AQ$17, $BK$4:$BK$55), 0))</f>
        <v>ong</v>
      </c>
      <c r="AR20" s="308" t="str" cm="1">
        <f t="array" aca="1" ref="AR20" ca="1" xml:space="preserve"> INDEX($BO$4:$BO$55, MATCH(TRUE, EXACT(AR$17, $BK$4:$BK$55), 0))</f>
        <v>ang</v>
      </c>
      <c r="AS20" s="308" t="str" cm="1">
        <f t="array" aca="1" ref="AS20" ca="1" xml:space="preserve"> INDEX($BO$4:$BO$55, MATCH(TRUE, EXACT(AS$17, $BK$4:$BK$55), 0))</f>
        <v>ir</v>
      </c>
      <c r="AT20" s="308" t="str" cm="1">
        <f t="array" aca="1" ref="AT20" ca="1" xml:space="preserve"> INDEX($BO$4:$BO$55, MATCH(TRUE, EXACT(AT$17, $BK$4:$BK$55), 0))</f>
        <v>ng</v>
      </c>
      <c r="AU20" s="308" t="str" cm="1">
        <f t="array" aca="1" ref="AU20" ca="1" xml:space="preserve"> INDEX($BO$4:$BO$55, MATCH(TRUE, EXACT(AU$17, $BK$4:$BK$55), 0))</f>
        <v>m</v>
      </c>
      <c r="AV20" s="308" t="str" cm="1">
        <f t="array" aca="1" ref="AV20" ca="1" xml:space="preserve"> INDEX($BO$4:$BO$55, MATCH(TRUE, EXACT(AV$17, $BK$4:$BK$55), 0))</f>
        <v>n</v>
      </c>
      <c r="AW20" s="308" t="str" cm="1">
        <f t="array" aca="1" ref="AW20" ca="1" xml:space="preserve"> INDEX($BO$4:$BO$55, MATCH(TRUE, EXACT(AW$17, $BK$4:$BK$55), 0))</f>
        <v>N</v>
      </c>
      <c r="AX20" s="308" cm="1">
        <f t="array" aca="1" ref="AX20" ca="1" xml:space="preserve"> INDEX($BO$4:$BO$55, MATCH(TRUE, EXACT(AX$17, $BK$4:$BK$55), 0))</f>
        <v>1</v>
      </c>
      <c r="AY20" s="308" cm="1">
        <f t="array" aca="1" ref="AY20" ca="1" xml:space="preserve"> INDEX($BO$4:$BO$55, MATCH(TRUE, EXACT(AY$17, $BK$4:$BK$55), 0))</f>
        <v>2</v>
      </c>
      <c r="AZ20" s="308" cm="1">
        <f t="array" aca="1" ref="AZ20" ca="1" xml:space="preserve"> INDEX($BO$4:$BO$55, MATCH(TRUE, EXACT(AZ$17, $BK$4:$BK$55), 0))</f>
        <v>3</v>
      </c>
      <c r="BA20" s="308" cm="1">
        <f t="array" aca="1" ref="BA20" ca="1" xml:space="preserve"> INDEX($BO$4:$BO$55, MATCH(TRUE, EXACT(BA$17, $BK$4:$BK$55), 0))</f>
        <v>5</v>
      </c>
      <c r="BB20" s="308" cm="1">
        <f t="array" aca="1" ref="BB20" ca="1" xml:space="preserve"> INDEX($BO$4:$BO$55, MATCH(TRUE, EXACT(BB$17, $BK$4:$BK$55), 0))</f>
        <v>7</v>
      </c>
      <c r="BC20" s="308" cm="1">
        <f t="array" aca="1" ref="BC20" ca="1" xml:space="preserve"> INDEX($BO$4:$BO$55, MATCH(TRUE, EXACT(BC$17, $BK$4:$BK$55), 0))</f>
        <v>0</v>
      </c>
      <c r="BJ20" s="280">
        <f t="shared" si="0"/>
        <v>17</v>
      </c>
      <c r="BK20" s="71" t="str">
        <f>'注音符號、電腦鍵盤與音標編碼'!C21</f>
        <v>Y</v>
      </c>
      <c r="BL20" s="32" t="str">
        <f>'注音符號、電腦鍵盤與音標編碼'!D21</f>
        <v>ㄐ</v>
      </c>
      <c r="BM20" s="178" t="str">
        <f>'注音符號、電腦鍵盤與音標編碼'!E21</f>
        <v>ㄐ</v>
      </c>
      <c r="BN20" s="34" t="str">
        <f>'注音符號、電腦鍵盤與音標編碼'!F21</f>
        <v>Z</v>
      </c>
      <c r="BO20" s="107" t="str">
        <f>'注音符號、電腦鍵盤與音標編碼'!G21</f>
        <v>zi-</v>
      </c>
      <c r="BP20" s="107"/>
      <c r="BR20" s="281" t="str">
        <f t="shared" si="1"/>
        <v>"Y": { commit: "ㄐ" }</v>
      </c>
      <c r="BT20" s="237">
        <f t="shared" si="2"/>
        <v>17</v>
      </c>
      <c r="BU20" s="282" t="str">
        <f t="shared" si="3"/>
        <v>- xform/Z/Y/</v>
      </c>
      <c r="BW20" s="282" t="str">
        <f t="shared" si="4"/>
        <v>- xform/Y/ㄐ/</v>
      </c>
    </row>
    <row r="21" spans="1:89" s="195" customFormat="1" ht="45" customHeight="1">
      <c r="A21" s="267"/>
      <c r="B21" s="309" t="s">
        <v>387</v>
      </c>
      <c r="C21" s="310"/>
      <c r="D21" s="311" t="str" cm="1">
        <f t="array" aca="1" ref="D21" ca="1" xml:space="preserve"> INDEX($BN$4:$BN$55, MATCH(TRUE, EXACT(D$17, $BK$4:$BK$55), 0))</f>
        <v>p</v>
      </c>
      <c r="E21" s="311" t="str" cm="1">
        <f t="array" aca="1" ref="E21" ca="1" xml:space="preserve"> INDEX($BN$4:$BN$55, MATCH(TRUE, EXACT(E$17, $BK$4:$BK$55), 0))</f>
        <v>b</v>
      </c>
      <c r="F21" s="311" t="str" cm="1">
        <f t="array" aca="1" ref="F21" ca="1" xml:space="preserve"> INDEX($BN$4:$BN$55, MATCH(TRUE, EXACT(F$17, $BK$4:$BK$55), 0))</f>
        <v>P</v>
      </c>
      <c r="G21" s="311" t="str" cm="1">
        <f t="array" aca="1" ref="G21" ca="1" xml:space="preserve"> INDEX($BN$4:$BN$55, MATCH(TRUE, EXACT(G$17, $BK$4:$BK$55), 0))</f>
        <v>m</v>
      </c>
      <c r="H21" s="311" t="str" cm="1">
        <f t="array" aca="1" ref="H21" ca="1" xml:space="preserve"> INDEX($BN$4:$BN$55, MATCH(TRUE, EXACT(H$17, $BK$4:$BK$55), 0))</f>
        <v>t</v>
      </c>
      <c r="I21" s="311" t="str" cm="1">
        <f t="array" aca="1" ref="I21" ca="1" xml:space="preserve"> INDEX($BN$4:$BN$55, MATCH(TRUE, EXACT(I$17, $BK$4:$BK$55), 0))</f>
        <v>T</v>
      </c>
      <c r="J21" s="311" t="str" cm="1">
        <f t="array" aca="1" ref="J21" ca="1" xml:space="preserve"> INDEX($BN$4:$BN$55, MATCH(TRUE, EXACT(J$17, $BK$4:$BK$55), 0))</f>
        <v>n</v>
      </c>
      <c r="K21" s="311" t="str" cm="1">
        <f t="array" aca="1" ref="K21" ca="1" xml:space="preserve"> INDEX($BN$4:$BN$55, MATCH(TRUE, EXACT(K$17, $BK$4:$BK$55), 0))</f>
        <v>l</v>
      </c>
      <c r="L21" s="311" t="str" cm="1">
        <f t="array" aca="1" ref="L21" ca="1" xml:space="preserve"> INDEX($BN$4:$BN$55, MATCH(TRUE, EXACT(L$17, $BK$4:$BK$55), 0))</f>
        <v>k</v>
      </c>
      <c r="M21" s="311" t="str" cm="1">
        <f t="array" aca="1" ref="M21" ca="1" xml:space="preserve"> INDEX($BN$4:$BN$55, MATCH(TRUE, EXACT(M$17, $BK$4:$BK$55), 0))</f>
        <v>g</v>
      </c>
      <c r="N21" s="311" t="str" cm="1">
        <f t="array" aca="1" ref="N21" ca="1" xml:space="preserve"> INDEX($BN$4:$BN$55, MATCH(TRUE, EXACT(N$17, $BK$4:$BK$55), 0))</f>
        <v>K</v>
      </c>
      <c r="O21" s="311" t="str" cm="1">
        <f t="array" aca="1" ref="O21" ca="1" xml:space="preserve"> INDEX($BN$4:$BN$55, MATCH(TRUE, EXACT(O$17, $BK$4:$BK$55), 0))</f>
        <v>w</v>
      </c>
      <c r="P21" s="311" t="str" cm="1">
        <f t="array" aca="1" ref="P21" ca="1" xml:space="preserve"> INDEX($BN$4:$BN$55, MATCH(TRUE, EXACT(P$17, $BK$4:$BK$55), 0))</f>
        <v>z</v>
      </c>
      <c r="Q21" s="311" t="str" cm="1">
        <f t="array" aca="1" ref="Q21" ca="1" xml:space="preserve"> INDEX($BN$4:$BN$55, MATCH(TRUE, EXACT(Q$17, $BK$4:$BK$55), 0))</f>
        <v>c</v>
      </c>
      <c r="R21" s="311" t="str" cm="1">
        <f t="array" aca="1" ref="R21" ca="1" xml:space="preserve"> INDEX($BN$4:$BN$55, MATCH(TRUE, EXACT(R$17, $BK$4:$BK$55), 0))</f>
        <v>s</v>
      </c>
      <c r="S21" s="311" t="str" cm="1">
        <f t="array" aca="1" ref="S21" ca="1" xml:space="preserve"> INDEX($BN$4:$BN$55, MATCH(TRUE, EXACT(S$17, $BK$4:$BK$55), 0))</f>
        <v>j</v>
      </c>
      <c r="T21" s="311" t="str" cm="1">
        <f t="array" aca="1" ref="T21" ca="1" xml:space="preserve"> INDEX($BN$4:$BN$55, MATCH(TRUE, EXACT(T$17, $BK$4:$BK$55), 0))</f>
        <v>Z</v>
      </c>
      <c r="U21" s="311" t="str" cm="1">
        <f t="array" aca="1" ref="U21" ca="1" xml:space="preserve"> INDEX($BN$4:$BN$55, MATCH(TRUE, EXACT(U$17, $BK$4:$BK$55), 0))</f>
        <v>C</v>
      </c>
      <c r="V21" s="311" t="str" cm="1">
        <f t="array" aca="1" ref="V21" ca="1" xml:space="preserve"> INDEX($BN$4:$BN$55, MATCH(TRUE, EXACT(V$17, $BK$4:$BK$55), 0))</f>
        <v>S</v>
      </c>
      <c r="W21" s="311" t="str" cm="1">
        <f t="array" aca="1" ref="W21" ca="1" xml:space="preserve"> INDEX($BN$4:$BN$55, MATCH(TRUE, EXACT(W$17, $BK$4:$BK$55), 0))</f>
        <v>J</v>
      </c>
      <c r="X21" s="311" t="str" cm="1">
        <f t="array" aca="1" ref="X21" ca="1" xml:space="preserve"> INDEX($BN$4:$BN$55, MATCH(TRUE, EXACT(X$17, $BK$4:$BK$55), 0))</f>
        <v>h</v>
      </c>
      <c r="Y21" s="311" t="str" cm="1">
        <f t="array" aca="1" ref="Y21" ca="1" xml:space="preserve"> INDEX($BN$4:$BN$55, MATCH(TRUE, EXACT(Y$17, $BK$4:$BK$55), 0))</f>
        <v>i</v>
      </c>
      <c r="Z21" s="311" t="str" cm="1">
        <f t="array" aca="1" ref="Z21" ca="1" xml:space="preserve"> INDEX($BN$4:$BN$55, MATCH(TRUE, EXACT(Z$17, $BK$4:$BK$55), 0))</f>
        <v>I</v>
      </c>
      <c r="AA21" s="311" t="str" cm="1">
        <f t="array" aca="1" ref="AA21" ca="1" xml:space="preserve"> INDEX($BN$4:$BN$55, MATCH(TRUE, EXACT(AA$17, $BK$4:$BK$55), 0))</f>
        <v>u</v>
      </c>
      <c r="AB21" s="311" t="str" cm="1">
        <f t="array" aca="1" ref="AB21" ca="1" xml:space="preserve"> INDEX($BN$4:$BN$55, MATCH(TRUE, EXACT(AB$17, $BK$4:$BK$55), 0))</f>
        <v>U</v>
      </c>
      <c r="AC21" s="311" t="str" cm="1">
        <f t="array" aca="1" ref="AC21" ca="1" xml:space="preserve"> INDEX($BN$4:$BN$55, MATCH(TRUE, EXACT(AC$17, $BK$4:$BK$55), 0))</f>
        <v>a</v>
      </c>
      <c r="AD21" s="311" t="str" cm="1">
        <f t="array" aca="1" ref="AD21" ca="1" xml:space="preserve"> INDEX($BN$4:$BN$55, MATCH(TRUE, EXACT(AD$17, $BK$4:$BK$55), 0))</f>
        <v>A</v>
      </c>
      <c r="AE21" s="311" t="str" cm="1">
        <f t="array" aca="1" ref="AE21" ca="1" xml:space="preserve"> INDEX($BN$4:$BN$55, MATCH(TRUE, EXACT(AE$17, $BK$4:$BK$55), 0))</f>
        <v>e</v>
      </c>
      <c r="AF21" s="311" t="str" cm="1">
        <f t="array" aca="1" ref="AF21" ca="1" xml:space="preserve"> INDEX($BN$4:$BN$55, MATCH(TRUE, EXACT(AF$17, $BK$4:$BK$55), 0))</f>
        <v>E</v>
      </c>
      <c r="AG21" s="311" t="str" cm="1">
        <f t="array" aca="1" ref="AG21" ca="1" xml:space="preserve"> INDEX($BN$4:$BN$55, MATCH(TRUE, EXACT(AG$17, $BK$4:$BK$55), 0))</f>
        <v>O</v>
      </c>
      <c r="AH21" s="311" t="str" cm="1">
        <f t="array" aca="1" ref="AH21" ca="1" xml:space="preserve"> INDEX($BN$4:$BN$55, MATCH(TRUE, EXACT(AH$17, $BK$4:$BK$55), 0))</f>
        <v>Q</v>
      </c>
      <c r="AI21" s="311" t="str" cm="1">
        <f t="array" aca="1" ref="AI21" ca="1" xml:space="preserve"> INDEX($BN$4:$BN$55, MATCH(TRUE, EXACT(AI$17, $BK$4:$BK$55), 0))</f>
        <v>o</v>
      </c>
      <c r="AJ21" s="311" t="str" cm="1">
        <f t="array" aca="1" ref="AJ21" ca="1" xml:space="preserve"> INDEX($BN$4:$BN$55, MATCH(TRUE, EXACT(AJ$17, $BK$4:$BK$55), 0))</f>
        <v>@</v>
      </c>
      <c r="AK21" s="311" t="str" cm="1">
        <f t="array" aca="1" ref="AK21" ca="1" xml:space="preserve"> INDEX($BN$4:$BN$55, MATCH(TRUE, EXACT(AK$17, $BK$4:$BK$55), 0))</f>
        <v>y</v>
      </c>
      <c r="AL21" s="311" t="str" cm="1">
        <f t="array" aca="1" ref="AL21" ca="1" xml:space="preserve"> INDEX($BN$4:$BN$55, MATCH(TRUE, EXACT(AL$17, $BK$4:$BK$55), 0))</f>
        <v>Y</v>
      </c>
      <c r="AM21" s="311" t="str" cm="1">
        <f t="array" aca="1" ref="AM21" ca="1" xml:space="preserve"> INDEX($BN$4:$BN$55, MATCH(TRUE, EXACT(AM$17, $BK$4:$BK$55), 0))</f>
        <v>x</v>
      </c>
      <c r="AN21" s="311" t="str" cm="1">
        <f t="array" aca="1" ref="AN21" ca="1" xml:space="preserve"> INDEX($BN$4:$BN$55, MATCH(TRUE, EXACT(AN$17, $BK$4:$BK$55), 0))</f>
        <v>X</v>
      </c>
      <c r="AO21" s="311" t="str" cm="1">
        <f t="array" aca="1" ref="AO21" ca="1" xml:space="preserve"> INDEX($BN$4:$BN$55, MATCH(TRUE, EXACT(AO$17, $BK$4:$BK$55), 0))</f>
        <v>}</v>
      </c>
      <c r="AP21" s="311" t="str" cm="1">
        <f t="array" aca="1" ref="AP21" ca="1" xml:space="preserve"> INDEX($BN$4:$BN$55, MATCH(TRUE, EXACT(AP$17, $BK$4:$BK$55), 0))</f>
        <v>{</v>
      </c>
      <c r="AQ21" s="311" t="str" cm="1">
        <f t="array" aca="1" ref="AQ21" ca="1" xml:space="preserve"> INDEX($BN$4:$BN$55, MATCH(TRUE, EXACT(AQ$17, $BK$4:$BK$55), 0))</f>
        <v>]</v>
      </c>
      <c r="AR21" s="311" t="str" cm="1">
        <f t="array" aca="1" ref="AR21" ca="1" xml:space="preserve"> INDEX($BN$4:$BN$55, MATCH(TRUE, EXACT(AR$17, $BK$4:$BK$55), 0))</f>
        <v>[</v>
      </c>
      <c r="AS21" s="311" t="str" cm="1">
        <f t="array" aca="1" ref="AS21" ca="1" xml:space="preserve"> INDEX($BN$4:$BN$55, MATCH(TRUE, EXACT(AS$17, $BK$4:$BK$55), 0))</f>
        <v>R</v>
      </c>
      <c r="AT21" s="311" t="str" cm="1">
        <f t="array" aca="1" ref="AT21" ca="1" xml:space="preserve"> INDEX($BN$4:$BN$55, MATCH(TRUE, EXACT(AT$17, $BK$4:$BK$55), 0))</f>
        <v>W</v>
      </c>
      <c r="AU21" s="311" t="str" cm="1">
        <f t="array" aca="1" ref="AU21" ca="1" xml:space="preserve"> INDEX($BN$4:$BN$55, MATCH(TRUE, EXACT(AU$17, $BK$4:$BK$55), 0))</f>
        <v>M</v>
      </c>
      <c r="AV21" s="311" t="str" cm="1">
        <f t="array" aca="1" ref="AV21" ca="1" xml:space="preserve"> INDEX($BN$4:$BN$55, MATCH(TRUE, EXACT(AV$17, $BK$4:$BK$55), 0))</f>
        <v>N</v>
      </c>
      <c r="AW21" s="311" t="str" cm="1">
        <f t="array" aca="1" ref="AW21" ca="1" xml:space="preserve"> INDEX($BN$4:$BN$55, MATCH(TRUE, EXACT(AW$17, $BK$4:$BK$55), 0))</f>
        <v>B</v>
      </c>
      <c r="AX21" s="311" cm="1">
        <f t="array" aca="1" ref="AX21" ca="1" xml:space="preserve"> INDEX($BN$4:$BN$55, MATCH(TRUE, EXACT(AX$17, $BK$4:$BK$55), 0))</f>
        <v>1</v>
      </c>
      <c r="AY21" s="311" cm="1">
        <f t="array" aca="1" ref="AY21" ca="1" xml:space="preserve"> INDEX($BN$4:$BN$55, MATCH(TRUE, EXACT(AY$17, $BK$4:$BK$55), 0))</f>
        <v>2</v>
      </c>
      <c r="AZ21" s="311" cm="1">
        <f t="array" aca="1" ref="AZ21" ca="1" xml:space="preserve"> INDEX($BN$4:$BN$55, MATCH(TRUE, EXACT(AZ$17, $BK$4:$BK$55), 0))</f>
        <v>3</v>
      </c>
      <c r="BA21" s="311" cm="1">
        <f t="array" aca="1" ref="BA21" ca="1" xml:space="preserve"> INDEX($BN$4:$BN$55, MATCH(TRUE, EXACT(BA$17, $BK$4:$BK$55), 0))</f>
        <v>5</v>
      </c>
      <c r="BB21" s="311" cm="1">
        <f t="array" aca="1" ref="BB21" ca="1" xml:space="preserve"> INDEX($BN$4:$BN$55, MATCH(TRUE, EXACT(BB$17, $BK$4:$BK$55), 0))</f>
        <v>7</v>
      </c>
      <c r="BC21" s="311" cm="1">
        <f t="array" aca="1" ref="BC21" ca="1" xml:space="preserve"> INDEX($BN$4:$BN$55, MATCH(TRUE, EXACT(BC$17, $BK$4:$BK$55), 0))</f>
        <v>0</v>
      </c>
      <c r="BD21" s="145"/>
      <c r="BE21" s="145"/>
      <c r="BF21" s="145"/>
      <c r="BJ21" s="280">
        <f t="shared" si="0"/>
        <v>18</v>
      </c>
      <c r="BK21" s="71" t="str">
        <f>'注音符號、電腦鍵盤與音標編碼'!C22</f>
        <v>H</v>
      </c>
      <c r="BL21" s="32" t="str">
        <f>'注音符號、電腦鍵盤與音標編碼'!D22</f>
        <v>ㄑ</v>
      </c>
      <c r="BM21" s="178" t="str">
        <f>'注音符號、電腦鍵盤與音標編碼'!E22</f>
        <v>ㄑ</v>
      </c>
      <c r="BN21" s="34" t="str">
        <f>'注音符號、電腦鍵盤與音標編碼'!F22</f>
        <v>C</v>
      </c>
      <c r="BO21" s="107" t="str">
        <f>'注音符號、電腦鍵盤與音標編碼'!G22</f>
        <v>ci-</v>
      </c>
      <c r="BP21" s="107"/>
      <c r="BR21" s="281" t="str">
        <f t="shared" si="1"/>
        <v>"H": { commit: "ㄑ" }</v>
      </c>
      <c r="BT21" s="195">
        <f t="shared" si="2"/>
        <v>18</v>
      </c>
      <c r="BU21" s="282" t="str">
        <f t="shared" si="3"/>
        <v>- xform/C/H/</v>
      </c>
      <c r="BW21" s="282" t="str">
        <f t="shared" si="4"/>
        <v>- xform/H/ㄑ/</v>
      </c>
    </row>
    <row r="22" spans="1:89" s="195" customFormat="1" ht="45" customHeight="1">
      <c r="B22" s="267"/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7"/>
      <c r="P22" s="267"/>
      <c r="Q22" s="267"/>
      <c r="R22" s="267"/>
      <c r="S22" s="267"/>
      <c r="T22" s="267"/>
      <c r="U22" s="267"/>
      <c r="V22" s="267"/>
      <c r="W22" s="267"/>
      <c r="X22" s="267"/>
      <c r="Y22" s="267"/>
      <c r="Z22" s="267"/>
      <c r="AA22" s="267"/>
      <c r="AB22" s="267"/>
      <c r="AC22" s="267"/>
      <c r="AD22" s="267"/>
      <c r="AE22" s="267"/>
      <c r="AF22" s="267"/>
      <c r="AG22" s="267"/>
      <c r="AH22" s="267"/>
      <c r="AI22" s="267"/>
      <c r="AJ22" s="267"/>
      <c r="AK22" s="267"/>
      <c r="AL22" s="267"/>
      <c r="AM22" s="267"/>
      <c r="AN22" s="267"/>
      <c r="AO22" s="267"/>
      <c r="AP22" s="267"/>
      <c r="AQ22" s="267"/>
      <c r="AR22" s="234"/>
      <c r="AS22" s="234"/>
      <c r="AT22" s="267"/>
      <c r="AU22" s="267"/>
      <c r="AV22" s="267"/>
      <c r="AW22" s="145"/>
      <c r="AX22" s="145"/>
      <c r="AY22" s="145"/>
      <c r="AZ22" s="145"/>
      <c r="BA22" s="145"/>
      <c r="BB22" s="145"/>
      <c r="BG22" s="312"/>
      <c r="BH22" s="312"/>
      <c r="BJ22" s="280">
        <f t="shared" si="0"/>
        <v>19</v>
      </c>
      <c r="BK22" s="71" t="str">
        <f>'注音符號、電腦鍵盤與音標編碼'!C23</f>
        <v>N</v>
      </c>
      <c r="BL22" s="32" t="str">
        <f>'注音符號、電腦鍵盤與音標編碼'!D23</f>
        <v>ㄒ</v>
      </c>
      <c r="BM22" s="178" t="str">
        <f>'注音符號、電腦鍵盤與音標編碼'!E23</f>
        <v>ㄒ</v>
      </c>
      <c r="BN22" s="34" t="str">
        <f>'注音符號、電腦鍵盤與音標編碼'!F23</f>
        <v>S</v>
      </c>
      <c r="BO22" s="107" t="str">
        <f>'注音符號、電腦鍵盤與音標編碼'!G23</f>
        <v>si-</v>
      </c>
      <c r="BP22" s="107"/>
      <c r="BR22" s="281" t="str">
        <f t="shared" si="1"/>
        <v>"N": { commit: "ㄒ" }</v>
      </c>
      <c r="BT22" s="195">
        <f t="shared" si="2"/>
        <v>19</v>
      </c>
      <c r="BU22" s="282" t="str">
        <f t="shared" si="3"/>
        <v>- xform/S/N/</v>
      </c>
      <c r="BW22" s="282" t="str">
        <f t="shared" si="4"/>
        <v>- xform/N/ㄒ/</v>
      </c>
    </row>
    <row r="23" spans="1:89" s="195" customFormat="1" ht="45" customHeight="1">
      <c r="B23" s="313" t="s">
        <v>575</v>
      </c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1" t="str">
        <f ca="1" xml:space="preserve"> _xlfn.CONCAT(D21:Y21)</f>
        <v>pbPmtTnlkgKwzcsjZCSJhi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314"/>
      <c r="Y23" s="314"/>
      <c r="Z23" s="314"/>
      <c r="AA23" s="314"/>
      <c r="AB23" s="314"/>
      <c r="AC23" s="314"/>
      <c r="AD23" s="314"/>
      <c r="AE23" s="314"/>
      <c r="AF23" s="314"/>
      <c r="AG23" s="314"/>
      <c r="AH23" s="314"/>
      <c r="BC23" s="312"/>
      <c r="BD23" s="312"/>
      <c r="BE23" s="312"/>
      <c r="BF23" s="312"/>
      <c r="BG23" s="312"/>
      <c r="BH23" s="312"/>
      <c r="BJ23" s="280">
        <f t="shared" si="0"/>
        <v>20</v>
      </c>
      <c r="BK23" s="71" t="str">
        <f>'注音符號、電腦鍵盤與音標編碼'!C24</f>
        <v>B</v>
      </c>
      <c r="BL23" s="32" t="str">
        <f>'注音符號、電腦鍵盤與音標編碼'!D24</f>
        <v>ㄖ</v>
      </c>
      <c r="BM23" s="178" t="str">
        <f>'注音符號、電腦鍵盤與音標編碼'!E24</f>
        <v>ㆢ</v>
      </c>
      <c r="BN23" s="34" t="str">
        <f>'注音符號、電腦鍵盤與音標編碼'!F24</f>
        <v>J</v>
      </c>
      <c r="BO23" s="107" t="str">
        <f>'注音符號、電腦鍵盤與音標編碼'!G24</f>
        <v>ji-</v>
      </c>
      <c r="BP23" s="107"/>
      <c r="BR23" s="281" t="str">
        <f t="shared" ref="BR23" si="5" xml:space="preserve"> """" &amp; BK23 &amp; """: { commit: """ &amp; BL23 &amp; """ }"</f>
        <v>"B": { commit: "ㄖ" }</v>
      </c>
      <c r="BT23" s="195">
        <f t="shared" ref="BT23" si="6">BJ23</f>
        <v>20</v>
      </c>
      <c r="BU23" s="282" t="str">
        <f t="shared" ref="BU23" si="7" xml:space="preserve"> "- xform/" &amp; BN23 &amp; "/" &amp; BK23 &amp; "/"</f>
        <v>- xform/J/B/</v>
      </c>
      <c r="BW23" s="282" t="str">
        <f t="shared" ref="BW23" si="8" xml:space="preserve"> "- xform/" &amp; BK23 &amp; "/" &amp; BL23 &amp; "/"</f>
        <v>- xform/B/ㄖ/</v>
      </c>
    </row>
    <row r="24" spans="1:89" s="195" customFormat="1" ht="45" customHeight="1">
      <c r="B24" s="315" t="s">
        <v>576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5"/>
      <c r="N24" s="315"/>
      <c r="O24" s="315"/>
      <c r="P24" s="315"/>
      <c r="Q24" s="315"/>
      <c r="R24" s="315"/>
      <c r="S24" s="315"/>
      <c r="T24" s="316"/>
      <c r="U24" s="315"/>
      <c r="V24" s="315"/>
      <c r="W24" s="315"/>
      <c r="X24" s="315"/>
      <c r="Y24" s="315"/>
      <c r="Z24" s="315"/>
      <c r="AA24" s="315" t="s">
        <v>509</v>
      </c>
      <c r="AB24" s="315"/>
      <c r="AC24" s="315"/>
      <c r="AD24" s="315"/>
      <c r="AE24" s="315"/>
      <c r="AF24" s="315"/>
      <c r="AG24" s="315"/>
      <c r="AH24" s="315"/>
      <c r="AI24" s="312"/>
      <c r="AJ24" s="312"/>
      <c r="AK24" s="312"/>
      <c r="AL24" s="312"/>
      <c r="AN24" s="312"/>
      <c r="AO24" s="312"/>
      <c r="AP24" s="312"/>
      <c r="AQ24" s="312"/>
      <c r="AR24" s="312"/>
      <c r="AS24" s="312"/>
      <c r="AT24" s="312"/>
      <c r="AU24" s="312"/>
      <c r="AV24" s="312"/>
      <c r="AW24" s="312"/>
      <c r="AX24" s="312"/>
      <c r="AY24" s="312"/>
      <c r="AZ24" s="312"/>
      <c r="BA24" s="312"/>
      <c r="BB24" s="312"/>
      <c r="BC24" s="312"/>
      <c r="BD24" s="312"/>
      <c r="BE24" s="312"/>
      <c r="BF24" s="312"/>
      <c r="BG24" s="312"/>
      <c r="BH24" s="312"/>
      <c r="BJ24" s="280">
        <f t="shared" si="0"/>
        <v>21</v>
      </c>
      <c r="BK24" s="71" t="str">
        <f>'注音符號、電腦鍵盤與音標編碼'!C25</f>
        <v>c</v>
      </c>
      <c r="BL24" s="32" t="str">
        <f>'注音符號、電腦鍵盤與音標編碼'!D25</f>
        <v>ㄏ</v>
      </c>
      <c r="BM24" s="178" t="str">
        <f>'注音符號、電腦鍵盤與音標編碼'!E25</f>
        <v>ㄏ</v>
      </c>
      <c r="BN24" s="34" t="str">
        <f>'注音符號、電腦鍵盤與音標編碼'!F25</f>
        <v>h</v>
      </c>
      <c r="BO24" s="107" t="str">
        <f>'注音符號、電腦鍵盤與音標編碼'!G25</f>
        <v>h</v>
      </c>
      <c r="BP24" s="111"/>
      <c r="BR24" s="281" t="str">
        <f t="shared" si="1"/>
        <v>"c": { commit: "ㄏ" }</v>
      </c>
      <c r="BT24" s="195">
        <f t="shared" ref="BT24:BT63" si="9">BJ23</f>
        <v>20</v>
      </c>
      <c r="BU24" s="282" t="str">
        <f t="shared" si="3"/>
        <v>- xform/h/c/</v>
      </c>
      <c r="BW24" s="282" t="str">
        <f t="shared" si="4"/>
        <v>- xform/c/ㄏ/</v>
      </c>
    </row>
    <row r="25" spans="1:89" s="195" customFormat="1" ht="45" customHeight="1">
      <c r="B25" s="317" t="s">
        <v>387</v>
      </c>
      <c r="C25" s="318"/>
      <c r="D25" s="319">
        <f ca="1" xml:space="preserve"> LEN(E25)</f>
        <v>52</v>
      </c>
      <c r="E25" s="319" t="str">
        <f ca="1" xml:space="preserve"> _xlfn.CONCAT(D21:BC21)</f>
        <v>pbPmtTnlkgKwzcsjZCSJhiIuUaAeEOQo@yYxX}{][RWMNB123570</v>
      </c>
      <c r="F25" s="318"/>
      <c r="G25" s="318"/>
      <c r="H25" s="318"/>
      <c r="I25" s="318"/>
      <c r="J25" s="318"/>
      <c r="K25" s="318"/>
      <c r="L25" s="318"/>
      <c r="M25" s="318"/>
      <c r="N25" s="318"/>
      <c r="O25" s="318"/>
      <c r="P25" s="318"/>
      <c r="Q25" s="318"/>
      <c r="R25" s="318"/>
      <c r="S25" s="318"/>
      <c r="T25" s="318"/>
      <c r="U25" s="318"/>
      <c r="V25" s="318"/>
      <c r="W25" s="318"/>
      <c r="X25" s="318"/>
      <c r="Y25" s="318"/>
      <c r="Z25" s="318"/>
      <c r="AA25" s="318"/>
      <c r="AB25" s="318"/>
      <c r="AC25" s="318"/>
      <c r="AD25" s="318"/>
      <c r="AE25" s="318"/>
      <c r="AF25" s="318"/>
      <c r="AG25" s="318"/>
      <c r="AH25" s="318"/>
      <c r="AI25" s="318"/>
      <c r="AJ25" s="318"/>
      <c r="AN25" s="312"/>
      <c r="AO25" s="312"/>
      <c r="AP25" s="312"/>
      <c r="AQ25" s="312"/>
      <c r="AR25" s="312"/>
      <c r="AS25" s="312"/>
      <c r="AT25" s="312"/>
      <c r="AU25" s="312"/>
      <c r="AV25" s="312"/>
      <c r="AW25" s="312"/>
      <c r="AX25" s="312"/>
      <c r="AY25" s="312"/>
      <c r="AZ25" s="312"/>
      <c r="BA25" s="312"/>
      <c r="BB25" s="312"/>
      <c r="BC25" s="312"/>
      <c r="BD25" s="312"/>
      <c r="BE25" s="312"/>
      <c r="BF25" s="312"/>
      <c r="BG25" s="312"/>
      <c r="BH25" s="312"/>
      <c r="BJ25" s="280">
        <f t="shared" si="0"/>
        <v>22</v>
      </c>
      <c r="BK25" s="71" t="str">
        <f>'注音符號、電腦鍵盤與音標編碼'!C26</f>
        <v>u</v>
      </c>
      <c r="BL25" s="32" t="str">
        <f>'注音符號、電腦鍵盤與音標編碼'!D26</f>
        <v>ㄧ</v>
      </c>
      <c r="BM25" s="178" t="str">
        <f>'注音符號、電腦鍵盤與音標編碼'!E26</f>
        <v>ㄧ</v>
      </c>
      <c r="BN25" s="34" t="str">
        <f>'注音符號、電腦鍵盤與音標編碼'!F26</f>
        <v>i</v>
      </c>
      <c r="BO25" s="107" t="str">
        <f>'注音符號、電腦鍵盤與音標編碼'!G26</f>
        <v>i</v>
      </c>
      <c r="BP25" s="107"/>
      <c r="BR25" s="281" t="str">
        <f t="shared" si="1"/>
        <v>"u": { commit: "ㄧ" }</v>
      </c>
      <c r="BT25" s="195">
        <f t="shared" si="9"/>
        <v>21</v>
      </c>
      <c r="BU25" s="282" t="str">
        <f t="shared" si="3"/>
        <v>- xform/i/u/</v>
      </c>
      <c r="BW25" s="282" t="str">
        <f t="shared" si="4"/>
        <v>- xform/u/ㄧ/</v>
      </c>
    </row>
    <row r="26" spans="1:89" s="324" customFormat="1" ht="45" customHeight="1">
      <c r="A26" s="195"/>
      <c r="B26" s="320" t="s">
        <v>577</v>
      </c>
      <c r="C26" s="321"/>
      <c r="D26" s="322">
        <f ca="1" xml:space="preserve"> LEN(E26)</f>
        <v>52</v>
      </c>
      <c r="E26" s="322" t="str">
        <f ca="1" xml:space="preserve"> _xlfn.CONCAT(D17:BC17)</f>
        <v>1!qa2wsxeEd?yhnbYHNBcuUjJ8*,&lt;iIk09(lLOA:;o/mp. 43657</v>
      </c>
      <c r="F26" s="321"/>
      <c r="G26" s="321"/>
      <c r="H26" s="321"/>
      <c r="I26" s="321"/>
      <c r="J26" s="321"/>
      <c r="K26" s="321"/>
      <c r="L26" s="321"/>
      <c r="M26" s="321"/>
      <c r="N26" s="321"/>
      <c r="O26" s="321"/>
      <c r="P26" s="321"/>
      <c r="Q26" s="321"/>
      <c r="R26" s="321"/>
      <c r="S26" s="321"/>
      <c r="T26" s="321"/>
      <c r="U26" s="321"/>
      <c r="V26" s="321"/>
      <c r="W26" s="321"/>
      <c r="X26" s="321"/>
      <c r="Y26" s="321"/>
      <c r="Z26" s="321"/>
      <c r="AA26" s="321"/>
      <c r="AB26" s="321"/>
      <c r="AC26" s="321"/>
      <c r="AD26" s="321"/>
      <c r="AE26" s="321"/>
      <c r="AF26" s="321"/>
      <c r="AG26" s="321"/>
      <c r="AH26" s="321"/>
      <c r="AI26" s="321"/>
      <c r="AJ26" s="321"/>
      <c r="AK26" s="195"/>
      <c r="AL26" s="195"/>
      <c r="AM26" s="195"/>
      <c r="AN26" s="312"/>
      <c r="AO26" s="312"/>
      <c r="AP26" s="312"/>
      <c r="AQ26" s="312"/>
      <c r="AR26" s="312"/>
      <c r="AS26" s="312"/>
      <c r="AT26" s="312"/>
      <c r="AU26" s="312"/>
      <c r="AV26" s="312"/>
      <c r="AW26" s="312"/>
      <c r="AX26" s="312"/>
      <c r="AY26" s="312"/>
      <c r="AZ26" s="312"/>
      <c r="BA26" s="312"/>
      <c r="BB26" s="312"/>
      <c r="BC26" s="312"/>
      <c r="BD26" s="312"/>
      <c r="BE26" s="312"/>
      <c r="BF26" s="312"/>
      <c r="BG26" s="323"/>
      <c r="BH26" s="323"/>
      <c r="BJ26" s="280">
        <f t="shared" si="0"/>
        <v>23</v>
      </c>
      <c r="BK26" s="71" t="str">
        <f>'注音符號、電腦鍵盤與音標編碼'!C27</f>
        <v>U</v>
      </c>
      <c r="BL26" s="32" t="str">
        <f>'注音符號、電腦鍵盤與音標編碼'!D27</f>
        <v>ㄥㄧ</v>
      </c>
      <c r="BM26" s="178" t="str">
        <f>'注音符號、電腦鍵盤與音標編碼'!E27</f>
        <v>ㆪ</v>
      </c>
      <c r="BN26" s="34" t="str">
        <f>'注音符號、電腦鍵盤與音標編碼'!F27</f>
        <v>I</v>
      </c>
      <c r="BO26" s="107" t="str">
        <f>'注音符號、電腦鍵盤與音標編碼'!G27</f>
        <v>Ni</v>
      </c>
      <c r="BP26" s="107"/>
      <c r="BQ26" s="195"/>
      <c r="BR26" s="281" t="str">
        <f t="shared" si="1"/>
        <v>"U": { commit: "ㄥㄧ" }</v>
      </c>
      <c r="BS26" s="195"/>
      <c r="BT26" s="195">
        <f t="shared" si="9"/>
        <v>22</v>
      </c>
      <c r="BU26" s="282" t="str">
        <f t="shared" si="3"/>
        <v>- xform/I/U/</v>
      </c>
      <c r="BV26" s="195"/>
      <c r="BW26" s="282" t="str">
        <f t="shared" si="4"/>
        <v>- xform/U/ㄥㄧ/</v>
      </c>
      <c r="BX26" s="195"/>
      <c r="BY26" s="195"/>
      <c r="BZ26" s="195"/>
      <c r="CA26" s="195"/>
      <c r="CB26" s="195"/>
      <c r="CC26" s="195"/>
      <c r="CD26" s="195"/>
      <c r="CE26" s="195"/>
      <c r="CF26" s="195"/>
      <c r="CG26" s="195"/>
      <c r="CH26" s="195"/>
      <c r="CI26" s="195"/>
      <c r="CJ26" s="195"/>
      <c r="CK26" s="195"/>
    </row>
    <row r="27" spans="1:89" s="195" customFormat="1" ht="45" customHeight="1">
      <c r="A27" s="324"/>
      <c r="B27" s="325" t="str">
        <f ca="1" xml:space="preserve"> "- xlit|" &amp; E25 &amp; "|" &amp; E26 &amp; "|"</f>
        <v>- xlit|pbPmtTnlkgKwzcsjZCSJhiIuUaAeEOQo@yYxX}{][RWMNB123570|1!qa2wsxeEd?yhnbYHNBcuUjJ8*,&lt;iIk09(lLOA:;o/mp. 43657|</v>
      </c>
      <c r="C27" s="326"/>
      <c r="D27" s="326"/>
      <c r="E27" s="326"/>
      <c r="F27" s="326"/>
      <c r="G27" s="326"/>
      <c r="H27" s="326"/>
      <c r="I27" s="326"/>
      <c r="J27" s="326"/>
      <c r="K27" s="326"/>
      <c r="L27" s="326"/>
      <c r="M27" s="326"/>
      <c r="N27" s="326"/>
      <c r="O27" s="326"/>
      <c r="P27" s="326"/>
      <c r="Q27" s="326"/>
      <c r="R27" s="326"/>
      <c r="S27" s="326"/>
      <c r="T27" s="326"/>
      <c r="U27" s="326"/>
      <c r="V27" s="326"/>
      <c r="W27" s="326"/>
      <c r="X27" s="326"/>
      <c r="Y27" s="326"/>
      <c r="Z27" s="326"/>
      <c r="AA27" s="326"/>
      <c r="AB27" s="326"/>
      <c r="AC27" s="326"/>
      <c r="AD27" s="326"/>
      <c r="AE27" s="326"/>
      <c r="AF27" s="326"/>
      <c r="AG27" s="326"/>
      <c r="AH27" s="326"/>
      <c r="AI27" s="326"/>
      <c r="AJ27" s="326"/>
      <c r="AK27" s="312"/>
      <c r="AL27" s="312"/>
      <c r="AN27" s="312"/>
      <c r="AO27" s="312"/>
      <c r="AP27" s="312"/>
      <c r="AQ27" s="312"/>
      <c r="AR27" s="312"/>
      <c r="AS27" s="312"/>
      <c r="AT27" s="312"/>
      <c r="AU27" s="312"/>
      <c r="AV27" s="312"/>
      <c r="AW27" s="312"/>
      <c r="AX27" s="312"/>
      <c r="AY27" s="312"/>
      <c r="AZ27" s="312"/>
      <c r="BA27" s="312"/>
      <c r="BB27" s="312"/>
      <c r="BC27" s="323"/>
      <c r="BD27" s="323"/>
      <c r="BE27" s="323"/>
      <c r="BF27" s="323"/>
      <c r="BG27" s="312"/>
      <c r="BH27" s="312"/>
      <c r="BJ27" s="280">
        <f t="shared" si="0"/>
        <v>24</v>
      </c>
      <c r="BK27" s="71" t="str">
        <f>'注音符號、電腦鍵盤與音標編碼'!C28</f>
        <v>j</v>
      </c>
      <c r="BL27" s="32" t="str">
        <f>'注音符號、電腦鍵盤與音標編碼'!D28</f>
        <v>ㄨ</v>
      </c>
      <c r="BM27" s="178" t="str">
        <f>'注音符號、電腦鍵盤與音標編碼'!E28</f>
        <v>ㄨ</v>
      </c>
      <c r="BN27" s="34" t="str">
        <f>'注音符號、電腦鍵盤與音標編碼'!F28</f>
        <v>u</v>
      </c>
      <c r="BO27" s="107" t="str">
        <f>'注音符號、電腦鍵盤與音標編碼'!G28</f>
        <v>u</v>
      </c>
      <c r="BP27" s="107"/>
      <c r="BQ27" s="324"/>
      <c r="BR27" s="281" t="str">
        <f t="shared" si="1"/>
        <v>"j": { commit: "ㄨ" }</v>
      </c>
      <c r="BS27" s="324"/>
      <c r="BT27" s="324">
        <f t="shared" si="9"/>
        <v>23</v>
      </c>
      <c r="BU27" s="282" t="str">
        <f t="shared" si="3"/>
        <v>- xform/u/j/</v>
      </c>
      <c r="BV27" s="324"/>
      <c r="BW27" s="282" t="str">
        <f t="shared" si="4"/>
        <v>- xform/j/ㄨ/</v>
      </c>
      <c r="BX27" s="324"/>
      <c r="BY27" s="324"/>
      <c r="BZ27" s="324"/>
      <c r="CA27" s="324"/>
      <c r="CB27" s="324"/>
      <c r="CC27" s="324"/>
      <c r="CD27" s="324"/>
      <c r="CE27" s="324"/>
      <c r="CF27" s="324"/>
      <c r="CG27" s="324"/>
      <c r="CH27" s="324"/>
      <c r="CI27" s="324"/>
      <c r="CJ27" s="324"/>
      <c r="CK27" s="324"/>
    </row>
    <row r="28" spans="1:89" s="195" customFormat="1" ht="45" customHeight="1">
      <c r="B28" s="327"/>
      <c r="C28" s="328"/>
      <c r="D28" s="328"/>
      <c r="E28" s="328"/>
      <c r="F28" s="328"/>
      <c r="G28" s="328"/>
      <c r="H28" s="328"/>
      <c r="I28" s="328"/>
      <c r="J28" s="328"/>
      <c r="K28" s="328"/>
      <c r="L28" s="328"/>
      <c r="M28" s="328"/>
      <c r="N28" s="328"/>
      <c r="O28" s="328"/>
      <c r="P28" s="328"/>
      <c r="Q28" s="328"/>
      <c r="R28" s="328"/>
      <c r="S28" s="328"/>
      <c r="T28" s="328"/>
      <c r="U28" s="328"/>
      <c r="V28" s="328"/>
      <c r="W28" s="328"/>
      <c r="X28" s="328"/>
      <c r="Y28" s="328"/>
      <c r="Z28" s="328"/>
      <c r="AA28" s="328"/>
      <c r="AB28" s="328"/>
      <c r="AC28" s="328"/>
      <c r="AD28" s="328"/>
      <c r="AE28" s="328"/>
      <c r="AF28" s="328"/>
      <c r="AG28" s="328"/>
      <c r="AH28" s="328"/>
      <c r="AI28" s="328"/>
      <c r="AJ28" s="328"/>
      <c r="AK28" s="323"/>
      <c r="AL28" s="323"/>
      <c r="AN28" s="312"/>
      <c r="AO28" s="312"/>
      <c r="AP28" s="312"/>
      <c r="AQ28" s="312"/>
      <c r="AR28" s="312"/>
      <c r="AS28" s="312"/>
      <c r="AT28" s="323"/>
      <c r="AU28" s="323"/>
      <c r="AV28" s="323"/>
      <c r="AW28" s="323"/>
      <c r="AX28" s="323"/>
      <c r="AY28" s="323"/>
      <c r="AZ28" s="323"/>
      <c r="BA28" s="323"/>
      <c r="BB28" s="323"/>
      <c r="BC28" s="312"/>
      <c r="BD28" s="312"/>
      <c r="BE28" s="312"/>
      <c r="BF28" s="312"/>
      <c r="BG28" s="312"/>
      <c r="BH28" s="312"/>
      <c r="BJ28" s="280">
        <f t="shared" si="0"/>
        <v>25</v>
      </c>
      <c r="BK28" s="71" t="str">
        <f>'注音符號、電腦鍵盤與音標編碼'!C29</f>
        <v>J</v>
      </c>
      <c r="BL28" s="32" t="str">
        <f>'注音符號、電腦鍵盤與音標編碼'!D29</f>
        <v>ㄥㄨ</v>
      </c>
      <c r="BM28" s="178" t="str">
        <f>'注音符號、電腦鍵盤與音標編碼'!E29</f>
        <v>ㆫ</v>
      </c>
      <c r="BN28" s="34" t="str">
        <f>'注音符號、電腦鍵盤與音標編碼'!F29</f>
        <v>U</v>
      </c>
      <c r="BO28" s="107" t="str">
        <f>'注音符號、電腦鍵盤與音標編碼'!G29</f>
        <v>Nu</v>
      </c>
      <c r="BP28" s="107"/>
      <c r="BR28" s="281" t="str">
        <f t="shared" si="1"/>
        <v>"J": { commit: "ㄥㄨ" }</v>
      </c>
      <c r="BT28" s="195">
        <f t="shared" si="9"/>
        <v>24</v>
      </c>
      <c r="BU28" s="282" t="str">
        <f t="shared" si="3"/>
        <v>- xform/U/J/</v>
      </c>
      <c r="BW28" s="282" t="str">
        <f t="shared" si="4"/>
        <v>- xform/J/ㄥㄨ/</v>
      </c>
    </row>
    <row r="29" spans="1:89" s="195" customFormat="1" ht="45" customHeight="1">
      <c r="B29" s="317"/>
      <c r="C29" s="318"/>
      <c r="D29" s="319">
        <f ca="1" xml:space="preserve"> LEN(E29)</f>
        <v>50</v>
      </c>
      <c r="E29" s="319" t="str">
        <f ca="1">SUBSTITUTE(SUBSTITUTE(E25, "b", ""), "g", "")</f>
        <v>pPmtTnlkKwzcsjZCSJhiIuUaAeEOQo@yYxX}{][RWMNB123570</v>
      </c>
      <c r="F29" s="318"/>
      <c r="G29" s="318"/>
      <c r="H29" s="318"/>
      <c r="I29" s="318"/>
      <c r="J29" s="318"/>
      <c r="K29" s="318"/>
      <c r="L29" s="318"/>
      <c r="M29" s="318"/>
      <c r="N29" s="318"/>
      <c r="O29" s="318"/>
      <c r="P29" s="318"/>
      <c r="Q29" s="318"/>
      <c r="R29" s="318"/>
      <c r="S29" s="318"/>
      <c r="T29" s="318"/>
      <c r="U29" s="318"/>
      <c r="V29" s="318"/>
      <c r="W29" s="318"/>
      <c r="X29" s="318"/>
      <c r="Y29" s="318"/>
      <c r="Z29" s="318"/>
      <c r="AA29" s="318"/>
      <c r="AB29" s="318"/>
      <c r="AC29" s="318"/>
      <c r="AD29" s="318"/>
      <c r="AE29" s="318"/>
      <c r="AF29" s="318"/>
      <c r="AG29" s="318"/>
      <c r="AH29" s="318"/>
      <c r="AI29" s="318"/>
      <c r="AJ29" s="318"/>
      <c r="AK29" s="312"/>
      <c r="AL29" s="312"/>
      <c r="AN29" s="312"/>
      <c r="AO29" s="312"/>
      <c r="AP29" s="312"/>
      <c r="AQ29" s="312"/>
      <c r="AR29" s="312"/>
      <c r="AS29" s="312"/>
      <c r="AT29" s="312"/>
      <c r="AU29" s="312"/>
      <c r="AV29" s="312"/>
      <c r="AW29" s="312"/>
      <c r="AX29" s="312"/>
      <c r="AY29" s="312"/>
      <c r="AZ29" s="312"/>
      <c r="BA29" s="312"/>
      <c r="BB29" s="312"/>
      <c r="BC29" s="312"/>
      <c r="BD29" s="312"/>
      <c r="BE29" s="312"/>
      <c r="BF29" s="312"/>
      <c r="BG29" s="312"/>
      <c r="BH29" s="312"/>
      <c r="BJ29" s="280">
        <f t="shared" si="0"/>
        <v>26</v>
      </c>
      <c r="BK29" s="71">
        <f>'注音符號、電腦鍵盤與音標編碼'!C30</f>
        <v>8</v>
      </c>
      <c r="BL29" s="32" t="str">
        <f>'注音符號、電腦鍵盤與音標編碼'!D30</f>
        <v>ㄚ</v>
      </c>
      <c r="BM29" s="178" t="str">
        <f>'注音符號、電腦鍵盤與音標編碼'!E30</f>
        <v>ㄚ</v>
      </c>
      <c r="BN29" s="34" t="str">
        <f>'注音符號、電腦鍵盤與音標編碼'!F30</f>
        <v>a</v>
      </c>
      <c r="BO29" s="107" t="str">
        <f>'注音符號、電腦鍵盤與音標編碼'!G30</f>
        <v>a</v>
      </c>
      <c r="BP29" s="107"/>
      <c r="BR29" s="281" t="str">
        <f t="shared" si="1"/>
        <v>"8": { commit: "ㄚ" }</v>
      </c>
      <c r="BT29" s="195">
        <f t="shared" si="9"/>
        <v>25</v>
      </c>
      <c r="BU29" s="282" t="str">
        <f t="shared" si="3"/>
        <v>- xform/a/8/</v>
      </c>
      <c r="BW29" s="282" t="str">
        <f t="shared" si="4"/>
        <v>- xform/8/ㄚ/</v>
      </c>
    </row>
    <row r="30" spans="1:89" s="195" customFormat="1" ht="45" customHeight="1">
      <c r="B30" s="320"/>
      <c r="C30" s="321"/>
      <c r="D30" s="322">
        <f ca="1" xml:space="preserve"> LEN(E30)</f>
        <v>50</v>
      </c>
      <c r="E30" s="322" t="str">
        <f ca="1">SUBSTITUTE(SUBSTITUTE(E26, "!", ""), "E", "")</f>
        <v>1qa2wsxed?yhnbYHNBcuUjJ8*,&lt;iIk09(lLOA:;o/mp. 43657</v>
      </c>
      <c r="F30" s="321"/>
      <c r="G30" s="321"/>
      <c r="H30" s="321"/>
      <c r="I30" s="321"/>
      <c r="J30" s="321"/>
      <c r="K30" s="321"/>
      <c r="L30" s="321"/>
      <c r="M30" s="321"/>
      <c r="N30" s="321"/>
      <c r="O30" s="321"/>
      <c r="P30" s="321"/>
      <c r="Q30" s="321"/>
      <c r="R30" s="321"/>
      <c r="S30" s="321"/>
      <c r="T30" s="321"/>
      <c r="U30" s="321"/>
      <c r="V30" s="321"/>
      <c r="W30" s="321"/>
      <c r="X30" s="321"/>
      <c r="Y30" s="321"/>
      <c r="Z30" s="321"/>
      <c r="AA30" s="321"/>
      <c r="AB30" s="321"/>
      <c r="AC30" s="321"/>
      <c r="AD30" s="321"/>
      <c r="AE30" s="321"/>
      <c r="AF30" s="321"/>
      <c r="AG30" s="321"/>
      <c r="AH30" s="321"/>
      <c r="AI30" s="321"/>
      <c r="AJ30" s="321"/>
      <c r="AK30" s="312"/>
      <c r="AL30" s="312"/>
      <c r="AN30" s="312"/>
      <c r="AO30" s="312"/>
      <c r="AP30" s="312"/>
      <c r="AQ30" s="312"/>
      <c r="AR30" s="312"/>
      <c r="AS30" s="312"/>
      <c r="AT30" s="312"/>
      <c r="AU30" s="312"/>
      <c r="AV30" s="312"/>
      <c r="AW30" s="312"/>
      <c r="AX30" s="312"/>
      <c r="AY30" s="312"/>
      <c r="AZ30" s="312"/>
      <c r="BA30" s="312"/>
      <c r="BB30" s="312"/>
      <c r="BC30" s="312"/>
      <c r="BD30" s="312"/>
      <c r="BE30" s="312"/>
      <c r="BF30" s="312"/>
      <c r="BG30" s="312"/>
      <c r="BH30" s="312"/>
      <c r="BJ30" s="280">
        <f t="shared" si="0"/>
        <v>27</v>
      </c>
      <c r="BK30" s="71" t="str">
        <f>'注音符號、電腦鍵盤與音標編碼'!C31</f>
        <v>*</v>
      </c>
      <c r="BL30" s="32" t="str">
        <f>'注音符號、電腦鍵盤與音標編碼'!D31</f>
        <v>ㄥㄚ</v>
      </c>
      <c r="BM30" s="178" t="str">
        <f>'注音符號、電腦鍵盤與音標編碼'!E31</f>
        <v>ㆩ</v>
      </c>
      <c r="BN30" s="34" t="str">
        <f>'注音符號、電腦鍵盤與音標編碼'!F31</f>
        <v>A</v>
      </c>
      <c r="BO30" s="107" t="str">
        <f>'注音符號、電腦鍵盤與音標編碼'!G31</f>
        <v>Na</v>
      </c>
      <c r="BP30" s="107"/>
      <c r="BR30" s="281" t="str">
        <f t="shared" si="1"/>
        <v>"*": { commit: "ㄥㄚ" }</v>
      </c>
      <c r="BT30" s="195">
        <f t="shared" si="9"/>
        <v>26</v>
      </c>
      <c r="BU30" s="282" t="str">
        <f t="shared" si="3"/>
        <v>- xform/A/*/</v>
      </c>
      <c r="BW30" s="282" t="str">
        <f t="shared" si="4"/>
        <v>- xform/*/ㄥㄚ/</v>
      </c>
    </row>
    <row r="31" spans="1:89" s="195" customFormat="1" ht="45" customHeight="1">
      <c r="B31" s="325" t="str">
        <f ca="1" xml:space="preserve"> "- xlit|" &amp; E29 &amp; "|" &amp; E30 &amp; "|"</f>
        <v>- xlit|pPmtTnlkKwzcsjZCSJhiIuUaAeEOQo@yYxX}{][RWMNB123570|1qa2wsxed?yhnbYHNBcuUjJ8*,&lt;iIk09(lLOA:;o/mp. 43657|</v>
      </c>
      <c r="C31" s="326"/>
      <c r="D31" s="326"/>
      <c r="E31" s="326"/>
      <c r="F31" s="326"/>
      <c r="G31" s="326"/>
      <c r="H31" s="326"/>
      <c r="I31" s="326"/>
      <c r="J31" s="326"/>
      <c r="K31" s="326"/>
      <c r="L31" s="326"/>
      <c r="M31" s="326"/>
      <c r="N31" s="326"/>
      <c r="O31" s="326"/>
      <c r="P31" s="326"/>
      <c r="Q31" s="326"/>
      <c r="R31" s="326"/>
      <c r="S31" s="326"/>
      <c r="T31" s="326"/>
      <c r="U31" s="326"/>
      <c r="V31" s="326"/>
      <c r="W31" s="326"/>
      <c r="X31" s="326"/>
      <c r="Y31" s="326"/>
      <c r="Z31" s="326"/>
      <c r="AA31" s="326"/>
      <c r="AB31" s="326"/>
      <c r="AC31" s="326"/>
      <c r="AD31" s="326"/>
      <c r="AE31" s="326"/>
      <c r="AF31" s="326"/>
      <c r="AG31" s="326"/>
      <c r="AH31" s="326"/>
      <c r="AI31" s="326"/>
      <c r="AJ31" s="326"/>
      <c r="AK31" s="312"/>
      <c r="AL31" s="312"/>
      <c r="AN31" s="312"/>
      <c r="AO31" s="312"/>
      <c r="AP31" s="312"/>
      <c r="AQ31" s="312"/>
      <c r="AR31" s="312"/>
      <c r="AS31" s="312"/>
      <c r="AT31" s="312"/>
      <c r="AU31" s="312"/>
      <c r="AV31" s="312"/>
      <c r="AW31" s="312"/>
      <c r="AX31" s="312"/>
      <c r="AY31" s="312"/>
      <c r="AZ31" s="312"/>
      <c r="BA31" s="312"/>
      <c r="BB31" s="312"/>
      <c r="BC31" s="312"/>
      <c r="BD31" s="312"/>
      <c r="BE31" s="312"/>
      <c r="BF31" s="312"/>
      <c r="BG31" s="312"/>
      <c r="BH31" s="312"/>
      <c r="BJ31" s="280">
        <f t="shared" si="0"/>
        <v>28</v>
      </c>
      <c r="BK31" s="71" t="str">
        <f>'注音符號、電腦鍵盤與音標編碼'!C32</f>
        <v>,</v>
      </c>
      <c r="BL31" s="32" t="str">
        <f>'注音符號、電腦鍵盤與音標編碼'!D32</f>
        <v>ㄝ</v>
      </c>
      <c r="BM31" s="178" t="str">
        <f>'注音符號、電腦鍵盤與音標編碼'!E32</f>
        <v>ㆤ</v>
      </c>
      <c r="BN31" s="34" t="str">
        <f>'注音符號、電腦鍵盤與音標編碼'!F32</f>
        <v>e</v>
      </c>
      <c r="BO31" s="107" t="str">
        <f>'注音符號、電腦鍵盤與音標編碼'!G32</f>
        <v>e</v>
      </c>
      <c r="BP31" s="107"/>
      <c r="BR31" s="281" t="str">
        <f t="shared" si="1"/>
        <v>",": { commit: "ㄝ" }</v>
      </c>
      <c r="BT31" s="195">
        <f t="shared" si="9"/>
        <v>27</v>
      </c>
      <c r="BU31" s="282" t="str">
        <f t="shared" si="3"/>
        <v>- xform/e/,/</v>
      </c>
      <c r="BW31" s="282" t="str">
        <f t="shared" si="4"/>
        <v>- xform/,/ㄝ/</v>
      </c>
    </row>
    <row r="32" spans="1:89" s="195" customFormat="1" ht="45" customHeight="1">
      <c r="AH32" s="312"/>
      <c r="AI32" s="312"/>
      <c r="AJ32" s="312"/>
      <c r="AK32" s="312"/>
      <c r="AL32" s="312"/>
      <c r="AN32" s="312"/>
      <c r="AO32" s="312"/>
      <c r="AP32" s="312"/>
      <c r="AQ32" s="312"/>
      <c r="AR32" s="312"/>
      <c r="AS32" s="312"/>
      <c r="AT32" s="312"/>
      <c r="AU32" s="312"/>
      <c r="AV32" s="312"/>
      <c r="AW32" s="312"/>
      <c r="AX32" s="312"/>
      <c r="AY32" s="312"/>
      <c r="AZ32" s="312"/>
      <c r="BA32" s="312"/>
      <c r="BB32" s="312"/>
      <c r="BC32" s="312"/>
      <c r="BD32" s="312"/>
      <c r="BE32" s="312"/>
      <c r="BF32" s="312"/>
      <c r="BG32" s="312"/>
      <c r="BH32" s="312"/>
      <c r="BJ32" s="280">
        <f t="shared" si="0"/>
        <v>29</v>
      </c>
      <c r="BK32" s="71" t="str">
        <f>'注音符號、電腦鍵盤與音標編碼'!C33</f>
        <v>&lt;</v>
      </c>
      <c r="BL32" s="32" t="str">
        <f>'注音符號、電腦鍵盤與音標編碼'!D33</f>
        <v>ㄥㄝ</v>
      </c>
      <c r="BM32" s="178" t="str">
        <f>'注音符號、電腦鍵盤與音標編碼'!E33</f>
        <v>ㆥ</v>
      </c>
      <c r="BN32" s="34" t="str">
        <f>'注音符號、電腦鍵盤與音標編碼'!F33</f>
        <v>E</v>
      </c>
      <c r="BO32" s="107" t="str">
        <f>'注音符號、電腦鍵盤與音標編碼'!G33</f>
        <v>Ne</v>
      </c>
      <c r="BP32" s="107"/>
      <c r="BR32" s="281" t="str">
        <f t="shared" si="1"/>
        <v>"&lt;": { commit: "ㄥㄝ" }</v>
      </c>
      <c r="BT32" s="195">
        <f t="shared" si="9"/>
        <v>28</v>
      </c>
      <c r="BU32" s="282" t="str">
        <f t="shared" si="3"/>
        <v>- xform/E/&lt;/</v>
      </c>
      <c r="BW32" s="282" t="str">
        <f t="shared" si="4"/>
        <v>- xform/&lt;/ㄥㄝ/</v>
      </c>
    </row>
    <row r="33" spans="1:89" s="195" customFormat="1" ht="45" customHeight="1">
      <c r="B33" s="329" t="s">
        <v>578</v>
      </c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5"/>
      <c r="N33" s="315"/>
      <c r="O33" s="315"/>
      <c r="P33" s="315"/>
      <c r="Q33" s="315"/>
      <c r="R33" s="315"/>
      <c r="S33" s="315"/>
      <c r="T33" s="315"/>
      <c r="U33" s="315"/>
      <c r="V33" s="315"/>
      <c r="W33" s="315"/>
      <c r="X33" s="315"/>
      <c r="Y33" s="315"/>
      <c r="Z33" s="315"/>
      <c r="AA33" s="315"/>
      <c r="AB33" s="315"/>
      <c r="AC33" s="315"/>
      <c r="AD33" s="315"/>
      <c r="AE33" s="315"/>
      <c r="AF33" s="315"/>
      <c r="AG33" s="315"/>
      <c r="AH33" s="312"/>
      <c r="AI33" s="312"/>
      <c r="AJ33" s="312"/>
      <c r="AK33" s="312"/>
      <c r="AL33" s="312"/>
      <c r="AN33" s="312"/>
      <c r="AO33" s="312"/>
      <c r="AP33" s="312"/>
      <c r="AQ33" s="312"/>
      <c r="AR33" s="312"/>
      <c r="AS33" s="312"/>
      <c r="AT33" s="312"/>
      <c r="AU33" s="312"/>
      <c r="AV33" s="312"/>
      <c r="AW33" s="312"/>
      <c r="AX33" s="312"/>
      <c r="AY33" s="312"/>
      <c r="AZ33" s="312"/>
      <c r="BA33" s="312"/>
      <c r="BB33" s="312"/>
      <c r="BC33" s="312"/>
      <c r="BD33" s="312"/>
      <c r="BE33" s="312"/>
      <c r="BF33" s="312"/>
      <c r="BG33" s="312"/>
      <c r="BH33" s="312"/>
      <c r="BJ33" s="280">
        <f t="shared" si="0"/>
        <v>30</v>
      </c>
      <c r="BK33" s="71" t="str">
        <f>'注音符號、電腦鍵盤與音標編碼'!C34</f>
        <v>i</v>
      </c>
      <c r="BL33" s="32" t="str">
        <f>'注音符號、電腦鍵盤與音標編碼'!D34</f>
        <v>ㄛ</v>
      </c>
      <c r="BM33" s="178" t="str">
        <f>'注音符號、電腦鍵盤與音標編碼'!E34</f>
        <v>ㆦ</v>
      </c>
      <c r="BN33" s="34" t="str">
        <f>'注音符號、電腦鍵盤與音標編碼'!F34</f>
        <v>O</v>
      </c>
      <c r="BO33" s="107" t="str">
        <f>'注音符號、電腦鍵盤與音標編碼'!G34</f>
        <v>oo</v>
      </c>
      <c r="BP33" s="107"/>
      <c r="BR33" s="281" t="str">
        <f t="shared" si="1"/>
        <v>"i": { commit: "ㄛ" }</v>
      </c>
      <c r="BT33" s="195">
        <f t="shared" si="9"/>
        <v>29</v>
      </c>
      <c r="BU33" s="282" t="str">
        <f t="shared" si="3"/>
        <v>- xform/O/i/</v>
      </c>
      <c r="BW33" s="282" t="str">
        <f t="shared" si="4"/>
        <v>- xform/i/ㄛ/</v>
      </c>
    </row>
    <row r="34" spans="1:89" s="195" customFormat="1" ht="45" customHeight="1">
      <c r="B34" s="315" t="s">
        <v>579</v>
      </c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6"/>
      <c r="T34" s="315"/>
      <c r="U34" s="315"/>
      <c r="V34" s="315"/>
      <c r="W34" s="315"/>
      <c r="X34" s="315"/>
      <c r="Y34" s="315"/>
      <c r="Z34" s="315"/>
      <c r="AA34" s="315"/>
      <c r="AB34" s="315"/>
      <c r="AC34" s="315"/>
      <c r="AD34" s="315"/>
      <c r="AE34" s="315"/>
      <c r="AF34" s="315"/>
      <c r="AG34" s="315"/>
      <c r="AH34" s="312"/>
      <c r="AI34" s="312"/>
      <c r="AJ34" s="312"/>
      <c r="AK34" s="312"/>
      <c r="AL34" s="312"/>
      <c r="AM34" s="312"/>
      <c r="AN34" s="312"/>
      <c r="AO34" s="312"/>
      <c r="AP34" s="312"/>
      <c r="AQ34" s="312"/>
      <c r="AR34" s="312"/>
      <c r="AS34" s="312"/>
      <c r="AT34" s="312"/>
      <c r="AU34" s="312"/>
      <c r="AV34" s="312"/>
      <c r="AW34" s="312"/>
      <c r="AX34" s="312"/>
      <c r="AY34" s="312"/>
      <c r="AZ34" s="312"/>
      <c r="BA34" s="312"/>
      <c r="BB34" s="312"/>
      <c r="BC34" s="312"/>
      <c r="BD34" s="312"/>
      <c r="BE34" s="312"/>
      <c r="BF34" s="312"/>
      <c r="BG34" s="312"/>
      <c r="BH34" s="312"/>
      <c r="BJ34" s="280">
        <f t="shared" si="0"/>
        <v>31</v>
      </c>
      <c r="BK34" s="71" t="str">
        <f>'注音符號、電腦鍵盤與音標編碼'!C35</f>
        <v>I</v>
      </c>
      <c r="BL34" s="32" t="str">
        <f>'注音符號、電腦鍵盤與音標編碼'!D35</f>
        <v>ㄥㆦ</v>
      </c>
      <c r="BM34" s="178" t="str">
        <f>'注音符號、電腦鍵盤與音標編碼'!E35</f>
        <v>ㆧ</v>
      </c>
      <c r="BN34" s="34" t="str">
        <f>'注音符號、電腦鍵盤與音標編碼'!F35</f>
        <v>Q</v>
      </c>
      <c r="BO34" s="107" t="str">
        <f>'注音符號、電腦鍵盤與音標編碼'!G35</f>
        <v>Noo</v>
      </c>
      <c r="BP34" s="107"/>
      <c r="BR34" s="281" t="str">
        <f t="shared" si="1"/>
        <v>"I": { commit: "ㄥㆦ" }</v>
      </c>
      <c r="BT34" s="195">
        <f t="shared" si="9"/>
        <v>30</v>
      </c>
      <c r="BU34" s="282" t="str">
        <f t="shared" si="3"/>
        <v>- xform/Q/I/</v>
      </c>
      <c r="BW34" s="282" t="str">
        <f t="shared" si="4"/>
        <v>- xform/I/ㄥㆦ/</v>
      </c>
    </row>
    <row r="35" spans="1:89" s="195" customFormat="1" ht="45" customHeight="1">
      <c r="B35" s="330" t="s">
        <v>342</v>
      </c>
      <c r="C35" s="331"/>
      <c r="D35" s="331">
        <f ca="1" xml:space="preserve"> LEN(E35)</f>
        <v>52</v>
      </c>
      <c r="E35" s="332" t="str">
        <f ca="1" xml:space="preserve"> _xlfn.CONCAT(D17:BC17)</f>
        <v>1!qa2wsxeEd?yhnbYHNBcuUjJ8*,&lt;iIk09(lLOA:;o/mp. 43657</v>
      </c>
      <c r="F35" s="332"/>
      <c r="G35" s="332"/>
      <c r="H35" s="332"/>
      <c r="I35" s="332"/>
      <c r="J35" s="332"/>
      <c r="K35" s="332"/>
      <c r="L35" s="332"/>
      <c r="M35" s="332"/>
      <c r="N35" s="332"/>
      <c r="O35" s="332"/>
      <c r="P35" s="332"/>
      <c r="Q35" s="332"/>
      <c r="R35" s="332"/>
      <c r="S35" s="332"/>
      <c r="T35" s="332"/>
      <c r="U35" s="332"/>
      <c r="V35" s="332"/>
      <c r="W35" s="332"/>
      <c r="X35" s="332"/>
      <c r="Y35" s="332"/>
      <c r="Z35" s="332"/>
      <c r="AA35" s="332"/>
      <c r="AB35" s="332"/>
      <c r="AC35" s="332"/>
      <c r="AD35" s="332"/>
      <c r="AE35" s="332"/>
      <c r="AF35" s="332"/>
      <c r="AG35" s="332"/>
      <c r="AH35" s="332"/>
      <c r="AI35" s="332"/>
      <c r="AJ35" s="332"/>
      <c r="AK35" s="312"/>
      <c r="AL35" s="312"/>
      <c r="AM35" s="312"/>
      <c r="AN35" s="312"/>
      <c r="AO35" s="312"/>
      <c r="AP35" s="312"/>
      <c r="AQ35" s="312"/>
      <c r="AR35" s="312"/>
      <c r="AS35" s="312"/>
      <c r="AT35" s="312"/>
      <c r="AU35" s="312"/>
      <c r="AV35" s="312"/>
      <c r="AW35" s="312"/>
      <c r="AX35" s="312"/>
      <c r="AY35" s="312"/>
      <c r="AZ35" s="312"/>
      <c r="BA35" s="312"/>
      <c r="BB35" s="312"/>
      <c r="BC35" s="312"/>
      <c r="BD35" s="312"/>
      <c r="BE35" s="312"/>
      <c r="BF35" s="312"/>
      <c r="BG35" s="312"/>
      <c r="BH35" s="312"/>
      <c r="BJ35" s="280">
        <f t="shared" si="0"/>
        <v>32</v>
      </c>
      <c r="BK35" s="71" t="str">
        <f>'注音符號、電腦鍵盤與音標編碼'!C36</f>
        <v>k</v>
      </c>
      <c r="BL35" s="32" t="str">
        <f>'注音符號、電腦鍵盤與音標編碼'!D36</f>
        <v>ㄜ</v>
      </c>
      <c r="BM35" s="178" t="str">
        <f>'注音符號、電腦鍵盤與音標編碼'!E36</f>
        <v>ㄜ</v>
      </c>
      <c r="BN35" s="34" t="str">
        <f>'注音符號、電腦鍵盤與音標編碼'!F36</f>
        <v>o</v>
      </c>
      <c r="BO35" s="107" t="str">
        <f>'注音符號、電腦鍵盤與音標編碼'!G36</f>
        <v>o</v>
      </c>
      <c r="BP35" s="107"/>
      <c r="BR35" s="281" t="str">
        <f t="shared" si="1"/>
        <v>"k": { commit: "ㄜ" }</v>
      </c>
      <c r="BT35" s="195">
        <f t="shared" si="9"/>
        <v>31</v>
      </c>
      <c r="BU35" s="282" t="str">
        <f t="shared" si="3"/>
        <v>- xform/o/k/</v>
      </c>
      <c r="BW35" s="282" t="str">
        <f t="shared" si="4"/>
        <v>- xform/k/ㄜ/</v>
      </c>
    </row>
    <row r="36" spans="1:89" s="195" customFormat="1" ht="45" customHeight="1">
      <c r="B36" s="333" t="s">
        <v>15</v>
      </c>
      <c r="C36" s="334"/>
      <c r="D36" s="334">
        <f ca="1">LEN(E36)</f>
        <v>52</v>
      </c>
      <c r="E36" s="333" t="str">
        <f ca="1" xml:space="preserve"> _xlfn.CONCAT(D19:BC19)</f>
        <v>ㄅㆠㄆㄇㄉㄊㄋㄌㄍㆣㄎㄫㄗㄘㄙㆡㄐㄑㄒㆢㄏㄧㆪㄨㆫㄚㆩㆤㆥㆦㆧㄜㄢㄞㆮㄠㆯㆱㆰㆲㄤㆨㆭㆬㄣ鼻ˉˋ˪ˊ˫˙</v>
      </c>
      <c r="F36" s="333"/>
      <c r="G36" s="333"/>
      <c r="H36" s="333"/>
      <c r="I36" s="333"/>
      <c r="J36" s="333"/>
      <c r="K36" s="333"/>
      <c r="L36" s="333"/>
      <c r="M36" s="333"/>
      <c r="N36" s="333"/>
      <c r="O36" s="333"/>
      <c r="P36" s="333"/>
      <c r="Q36" s="333"/>
      <c r="R36" s="333"/>
      <c r="S36" s="333"/>
      <c r="T36" s="333"/>
      <c r="U36" s="333"/>
      <c r="V36" s="333"/>
      <c r="W36" s="333"/>
      <c r="X36" s="333"/>
      <c r="Y36" s="333"/>
      <c r="Z36" s="333"/>
      <c r="AA36" s="333"/>
      <c r="AB36" s="333"/>
      <c r="AC36" s="333"/>
      <c r="AD36" s="333"/>
      <c r="AE36" s="333"/>
      <c r="AF36" s="333"/>
      <c r="AG36" s="333"/>
      <c r="AH36" s="333"/>
      <c r="AI36" s="333"/>
      <c r="AJ36" s="333"/>
      <c r="AK36" s="312"/>
      <c r="AL36" s="312"/>
      <c r="AM36" s="335" t="s">
        <v>390</v>
      </c>
      <c r="AN36" s="335" t="s">
        <v>421</v>
      </c>
      <c r="AO36" s="335" t="s">
        <v>509</v>
      </c>
      <c r="AP36" s="335" t="s">
        <v>401</v>
      </c>
      <c r="AQ36" s="335" t="s">
        <v>69</v>
      </c>
      <c r="AR36" s="312"/>
      <c r="AS36" s="312"/>
      <c r="AT36" s="312"/>
      <c r="AU36" s="312"/>
      <c r="AV36" s="312"/>
      <c r="AW36" s="312"/>
      <c r="AX36" s="312"/>
      <c r="AY36" s="312"/>
      <c r="AZ36" s="312"/>
      <c r="BA36" s="312"/>
      <c r="BB36" s="312"/>
      <c r="BC36" s="312"/>
      <c r="BD36" s="312"/>
      <c r="BE36" s="312"/>
      <c r="BF36" s="312"/>
      <c r="BG36" s="312"/>
      <c r="BH36" s="312"/>
      <c r="BJ36" s="280">
        <f t="shared" si="0"/>
        <v>33</v>
      </c>
      <c r="BK36" s="71">
        <f>'注音符號、電腦鍵盤與音標編碼'!C37</f>
        <v>0</v>
      </c>
      <c r="BL36" s="32" t="str">
        <f>'注音符號、電腦鍵盤與音標編碼'!D37</f>
        <v>ㄢ</v>
      </c>
      <c r="BM36" s="178" t="str">
        <f>'注音符號、電腦鍵盤與音標編碼'!E37</f>
        <v>ㄢ</v>
      </c>
      <c r="BN36" s="34" t="str">
        <f>'注音符號、電腦鍵盤與音標編碼'!F37</f>
        <v>@</v>
      </c>
      <c r="BO36" s="107" t="str">
        <f>'注音符號、電腦鍵盤與音標編碼'!G37</f>
        <v>an</v>
      </c>
      <c r="BP36" s="107"/>
      <c r="BR36" s="281" t="str">
        <f t="shared" si="1"/>
        <v>"0": { commit: "ㄢ" }</v>
      </c>
      <c r="BT36" s="195">
        <f t="shared" si="9"/>
        <v>32</v>
      </c>
      <c r="BU36" s="282" t="str">
        <f t="shared" si="3"/>
        <v>- xform/@/0/</v>
      </c>
      <c r="BW36" s="282" t="str">
        <f t="shared" si="4"/>
        <v>- xform/0/ㄢ/</v>
      </c>
    </row>
    <row r="37" spans="1:89" s="195" customFormat="1" ht="45" customHeight="1">
      <c r="B37" s="325" t="str">
        <f ca="1" xml:space="preserve"> "- xlit|" &amp; E35 &amp; "|" &amp; E36 &amp; "|"</f>
        <v>- xlit|1!qa2wsxeEd?yhnbYHNBcuUjJ8*,&lt;iIk09(lLOA:;o/mp. 43657|ㄅㆠㄆㄇㄉㄊㄋㄌㄍㆣㄎㄫㄗㄘㄙㆡㄐㄑㄒㆢㄏㄧㆪㄨㆫㄚㆩㆤㆥㆦㆧㄜㄢㄞㆮㄠㆯㆱㆰㆲㄤㆨㆭㆬㄣ鼻ˉˋ˪ˊ˫˙|</v>
      </c>
      <c r="C37" s="336"/>
      <c r="D37" s="336"/>
      <c r="E37" s="336"/>
      <c r="F37" s="336"/>
      <c r="G37" s="336"/>
      <c r="H37" s="336"/>
      <c r="I37" s="336"/>
      <c r="J37" s="336"/>
      <c r="K37" s="336"/>
      <c r="L37" s="336"/>
      <c r="M37" s="336"/>
      <c r="N37" s="336"/>
      <c r="O37" s="336"/>
      <c r="P37" s="336"/>
      <c r="Q37" s="336"/>
      <c r="R37" s="336"/>
      <c r="S37" s="336"/>
      <c r="T37" s="336"/>
      <c r="U37" s="336"/>
      <c r="V37" s="336"/>
      <c r="W37" s="336"/>
      <c r="X37" s="336"/>
      <c r="Y37" s="336"/>
      <c r="Z37" s="336"/>
      <c r="AA37" s="336"/>
      <c r="AB37" s="336"/>
      <c r="AC37" s="336"/>
      <c r="AD37" s="336"/>
      <c r="AE37" s="336"/>
      <c r="AF37" s="336"/>
      <c r="AG37" s="326"/>
      <c r="AH37" s="326"/>
      <c r="AI37" s="326"/>
      <c r="AJ37" s="326"/>
      <c r="AK37" s="312"/>
      <c r="AL37" s="312"/>
      <c r="AM37" s="335">
        <f ca="1" xml:space="preserve"> FIND(AM36, $E$35)</f>
        <v>2</v>
      </c>
      <c r="AN37" s="335">
        <f ca="1" xml:space="preserve"> FIND(AN36, $E$35)</f>
        <v>10</v>
      </c>
      <c r="AO37" s="335">
        <f ca="1" xml:space="preserve"> FIND(AO36, $E$35)</f>
        <v>40</v>
      </c>
      <c r="AP37" s="335">
        <f ca="1" xml:space="preserve"> FIND(AP36, $E$35)</f>
        <v>39</v>
      </c>
      <c r="AQ37" s="335">
        <f ca="1" xml:space="preserve"> FIND(AQ36, $E$35)</f>
        <v>38</v>
      </c>
      <c r="AR37" s="312"/>
      <c r="AS37" s="312"/>
      <c r="AT37" s="312"/>
      <c r="AU37" s="312"/>
      <c r="AV37" s="312"/>
      <c r="AW37" s="312"/>
      <c r="AX37" s="312"/>
      <c r="AY37" s="312"/>
      <c r="AZ37" s="312"/>
      <c r="BA37" s="312"/>
      <c r="BB37" s="312"/>
      <c r="BC37" s="312"/>
      <c r="BD37" s="312"/>
      <c r="BE37" s="312"/>
      <c r="BF37" s="312"/>
      <c r="BG37" s="312"/>
      <c r="BH37" s="312"/>
      <c r="BJ37" s="280">
        <f t="shared" si="0"/>
        <v>34</v>
      </c>
      <c r="BK37" s="71">
        <f>'注音符號、電腦鍵盤與音標編碼'!C38</f>
        <v>9</v>
      </c>
      <c r="BL37" s="32" t="str">
        <f>'注音符號、電腦鍵盤與音標編碼'!D38</f>
        <v>ㄞ</v>
      </c>
      <c r="BM37" s="178" t="str">
        <f>'注音符號、電腦鍵盤與音標編碼'!E38</f>
        <v>ㄞ</v>
      </c>
      <c r="BN37" s="34" t="str">
        <f>'注音符號、電腦鍵盤與音標編碼'!F38</f>
        <v>y</v>
      </c>
      <c r="BO37" s="107" t="str">
        <f>'注音符號、電腦鍵盤與音標編碼'!G38</f>
        <v>ai</v>
      </c>
      <c r="BP37" s="107"/>
      <c r="BR37" s="281" t="str">
        <f t="shared" si="1"/>
        <v>"9": { commit: "ㄞ" }</v>
      </c>
      <c r="BT37" s="195">
        <f t="shared" si="9"/>
        <v>33</v>
      </c>
      <c r="BU37" s="282" t="str">
        <f t="shared" si="3"/>
        <v>- xform/y/9/</v>
      </c>
      <c r="BW37" s="282" t="str">
        <f t="shared" si="4"/>
        <v>- xform/9/ㄞ/</v>
      </c>
    </row>
    <row r="38" spans="1:89" s="195" customFormat="1" ht="45" customHeight="1">
      <c r="B38" s="327"/>
      <c r="C38" s="328"/>
      <c r="D38" s="328"/>
      <c r="E38" s="328"/>
      <c r="F38" s="328"/>
      <c r="G38" s="328"/>
      <c r="H38" s="328"/>
      <c r="I38" s="328"/>
      <c r="J38" s="328"/>
      <c r="K38" s="328"/>
      <c r="L38" s="328"/>
      <c r="M38" s="328"/>
      <c r="N38" s="328"/>
      <c r="O38" s="328"/>
      <c r="P38" s="328"/>
      <c r="Q38" s="328"/>
      <c r="R38" s="328"/>
      <c r="S38" s="328"/>
      <c r="T38" s="328"/>
      <c r="U38" s="328"/>
      <c r="V38" s="328"/>
      <c r="W38" s="328"/>
      <c r="X38" s="328"/>
      <c r="Y38" s="328"/>
      <c r="Z38" s="328"/>
      <c r="AA38" s="328"/>
      <c r="AB38" s="328"/>
      <c r="AC38" s="328"/>
      <c r="AD38" s="328"/>
      <c r="AE38" s="328"/>
      <c r="AF38" s="328"/>
      <c r="AG38" s="328"/>
      <c r="AH38" s="328"/>
      <c r="AI38" s="328"/>
      <c r="AJ38" s="328"/>
      <c r="AK38" s="312"/>
      <c r="AL38" s="312"/>
      <c r="AM38" s="335" t="str">
        <f ca="1" xml:space="preserve"> MID($E$36,AM37,1)</f>
        <v>ㆠ</v>
      </c>
      <c r="AN38" s="335" t="str">
        <f ca="1" xml:space="preserve"> MID($E$36,AN37,1)</f>
        <v>ㆣ</v>
      </c>
      <c r="AO38" s="335" t="str">
        <f ca="1" xml:space="preserve"> MID($E$36,AO37,1)</f>
        <v>ㆲ</v>
      </c>
      <c r="AP38" s="335" t="str">
        <f ca="1" xml:space="preserve"> MID($E$36,AP37,1)</f>
        <v>ㆰ</v>
      </c>
      <c r="AQ38" s="335" t="str">
        <f ca="1" xml:space="preserve"> MID($E$36,AQ37,1)</f>
        <v>ㆱ</v>
      </c>
      <c r="AR38" s="312"/>
      <c r="AS38" s="312"/>
      <c r="AT38" s="312"/>
      <c r="AU38" s="312"/>
      <c r="AV38" s="312"/>
      <c r="AW38" s="312"/>
      <c r="AX38" s="312"/>
      <c r="AY38" s="312"/>
      <c r="AZ38" s="312"/>
      <c r="BA38" s="312"/>
      <c r="BB38" s="312"/>
      <c r="BC38" s="312"/>
      <c r="BD38" s="312"/>
      <c r="BE38" s="312"/>
      <c r="BF38" s="312"/>
      <c r="BG38" s="312"/>
      <c r="BH38" s="312"/>
      <c r="BJ38" s="280">
        <f t="shared" si="0"/>
        <v>35</v>
      </c>
      <c r="BK38" s="71" t="str">
        <f>'注音符號、電腦鍵盤與音標編碼'!C39</f>
        <v>(</v>
      </c>
      <c r="BL38" s="32" t="str">
        <f>'注音符號、電腦鍵盤與音標編碼'!D39</f>
        <v>ㄥㄞ</v>
      </c>
      <c r="BM38" s="178" t="str">
        <f>'注音符號、電腦鍵盤與音標編碼'!E39</f>
        <v>ㆮ</v>
      </c>
      <c r="BN38" s="34" t="str">
        <f>'注音符號、電腦鍵盤與音標編碼'!F39</f>
        <v>Y</v>
      </c>
      <c r="BO38" s="107" t="str">
        <f>'注音符號、電腦鍵盤與音標編碼'!G39</f>
        <v>Nai</v>
      </c>
      <c r="BP38" s="107"/>
      <c r="BR38" s="281" t="str">
        <f t="shared" si="1"/>
        <v>"(": { commit: "ㄥㄞ" }</v>
      </c>
      <c r="BT38" s="195">
        <f t="shared" si="9"/>
        <v>34</v>
      </c>
      <c r="BU38" s="282" t="str">
        <f t="shared" si="3"/>
        <v>- xform/Y/(/</v>
      </c>
      <c r="BW38" s="282" t="str">
        <f t="shared" si="4"/>
        <v>- xform/(/ㄥㄞ/</v>
      </c>
    </row>
    <row r="39" spans="1:89" s="195" customFormat="1" ht="45" customHeight="1">
      <c r="B39" s="317"/>
      <c r="C39" s="318"/>
      <c r="D39" s="319">
        <f ca="1" xml:space="preserve"> LEN(E39)</f>
        <v>52</v>
      </c>
      <c r="E39" s="319" t="str">
        <f ca="1" xml:space="preserve"> SUBSTITUTE(E35, _xlfn.CONCAT(AM36:AQ36), "")</f>
        <v>1!qa2wsxeEd?yhnbYHNBcuUjJ8*,&lt;iIk09(lLOA:;o/mp. 43657</v>
      </c>
      <c r="F39" s="318"/>
      <c r="G39" s="318"/>
      <c r="H39" s="318"/>
      <c r="I39" s="318"/>
      <c r="J39" s="318"/>
      <c r="K39" s="318"/>
      <c r="L39" s="318"/>
      <c r="M39" s="318"/>
      <c r="N39" s="318"/>
      <c r="O39" s="318"/>
      <c r="P39" s="318"/>
      <c r="Q39" s="318"/>
      <c r="R39" s="318"/>
      <c r="S39" s="318"/>
      <c r="T39" s="318"/>
      <c r="U39" s="318"/>
      <c r="V39" s="318"/>
      <c r="W39" s="318"/>
      <c r="X39" s="318"/>
      <c r="Y39" s="318"/>
      <c r="Z39" s="318"/>
      <c r="AA39" s="318"/>
      <c r="AB39" s="318"/>
      <c r="AC39" s="318"/>
      <c r="AD39" s="318"/>
      <c r="AE39" s="318"/>
      <c r="AF39" s="318"/>
      <c r="AG39" s="318"/>
      <c r="AH39" s="318"/>
      <c r="AI39" s="318"/>
      <c r="AJ39" s="318"/>
      <c r="AK39" s="312"/>
      <c r="AL39" s="312" t="str">
        <f ca="1">$E$35</f>
        <v>1!qa2wsxeEd?yhnbYHNBcuUjJ8*,&lt;iIk09(lLOA:;o/mp. 43657</v>
      </c>
      <c r="AM39" s="195" t="str">
        <f ca="1" xml:space="preserve"> SUBSTITUTE(AL39, MID(AL39, FIND(AM36,AL39), 1), "")</f>
        <v>1qa2wsxeEd?yhnbYHNBcuUjJ8*,&lt;iIk09(lLOA:;o/mp. 43657</v>
      </c>
      <c r="AN39" s="195" t="str">
        <f t="shared" ref="AN39:AQ39" ca="1" si="10" xml:space="preserve"> SUBSTITUTE(AM39, MID(AM39, FIND(AN36,AM39), 1), "")</f>
        <v>1qa2wsxed?yhnbYHNBcuUjJ8*,&lt;iIk09(lLOA:;o/mp. 43657</v>
      </c>
      <c r="AO39" s="195" t="str">
        <f t="shared" ca="1" si="10"/>
        <v>1qa2wsxed?yhnbYHNBcuUjJ8*,&lt;iIk09(lLOA;o/mp. 43657</v>
      </c>
      <c r="AP39" s="195" t="str">
        <f t="shared" ca="1" si="10"/>
        <v>1qa2wsxed?yhnbYHNBcuUjJ8*,&lt;iIk09(lLO;o/mp. 43657</v>
      </c>
      <c r="AQ39" s="337" t="str">
        <f t="shared" ca="1" si="10"/>
        <v>1qa2wsxed?yhnbYHNBcuUjJ8*,&lt;iIk09(lL;o/mp. 43657</v>
      </c>
      <c r="AR39" s="312"/>
      <c r="AS39" s="312"/>
      <c r="AT39" s="312"/>
      <c r="AU39" s="312"/>
      <c r="AV39" s="312"/>
      <c r="AW39" s="312"/>
      <c r="AX39" s="312"/>
      <c r="AY39" s="312"/>
      <c r="AZ39" s="312"/>
      <c r="BA39" s="312"/>
      <c r="BB39" s="312"/>
      <c r="BC39" s="312"/>
      <c r="BD39" s="312"/>
      <c r="BE39" s="312"/>
      <c r="BF39" s="312"/>
      <c r="BG39" s="312"/>
      <c r="BH39" s="312"/>
      <c r="BJ39" s="280">
        <f t="shared" si="0"/>
        <v>36</v>
      </c>
      <c r="BK39" s="71" t="str">
        <f>'注音符號、電腦鍵盤與音標編碼'!C40</f>
        <v>l</v>
      </c>
      <c r="BL39" s="32" t="str">
        <f>'注音符號、電腦鍵盤與音標編碼'!D40</f>
        <v>ㄠ</v>
      </c>
      <c r="BM39" s="178" t="str">
        <f>'注音符號、電腦鍵盤與音標編碼'!E40</f>
        <v>ㄠ</v>
      </c>
      <c r="BN39" s="34" t="str">
        <f>'注音符號、電腦鍵盤與音標編碼'!F40</f>
        <v>x</v>
      </c>
      <c r="BO39" s="107" t="str">
        <f>'注音符號、電腦鍵盤與音標編碼'!G40</f>
        <v>au</v>
      </c>
      <c r="BP39" s="107"/>
      <c r="BR39" s="281" t="str">
        <f t="shared" si="1"/>
        <v>"l": { commit: "ㄠ" }</v>
      </c>
      <c r="BT39" s="195">
        <f t="shared" si="9"/>
        <v>35</v>
      </c>
      <c r="BU39" s="282" t="str">
        <f t="shared" si="3"/>
        <v>- xform/x/l/</v>
      </c>
      <c r="BW39" s="282" t="str">
        <f t="shared" si="4"/>
        <v>- xform/l/ㄠ/</v>
      </c>
    </row>
    <row r="40" spans="1:89" s="195" customFormat="1" ht="45" customHeight="1">
      <c r="B40" s="320"/>
      <c r="C40" s="321"/>
      <c r="D40" s="322">
        <f ca="1" xml:space="preserve"> LEN(E40)</f>
        <v>52</v>
      </c>
      <c r="E40" s="322" t="str">
        <f ca="1">SUBSTITUTE( SUBSTITUTE(SUBSTITUTE(E36, AM40, ""), AN40, ""), AO40, "")</f>
        <v>ㄅㆠㄆㄇㄉㄊㄋㄌㄍㆣㄎㄫㄗㄘㄙㆡㄐㄑㄒㆢㄏㄧㆪㄨㆫㄚㆩㆤㆥㆦㆧㄜㄢㄞㆮㄠㆯㆱㆰㆲㄤㆨㆭㆬㄣ鼻ˉˋ˪ˊ˫˙</v>
      </c>
      <c r="F40" s="321"/>
      <c r="G40" s="321"/>
      <c r="H40" s="321"/>
      <c r="I40" s="321"/>
      <c r="J40" s="321"/>
      <c r="K40" s="321"/>
      <c r="L40" s="321"/>
      <c r="M40" s="321"/>
      <c r="N40" s="321"/>
      <c r="O40" s="321"/>
      <c r="P40" s="321"/>
      <c r="Q40" s="321"/>
      <c r="R40" s="321"/>
      <c r="S40" s="321"/>
      <c r="T40" s="321"/>
      <c r="U40" s="321"/>
      <c r="V40" s="321"/>
      <c r="W40" s="321"/>
      <c r="X40" s="321"/>
      <c r="Y40" s="321"/>
      <c r="Z40" s="321"/>
      <c r="AA40" s="321"/>
      <c r="AB40" s="321"/>
      <c r="AC40" s="321"/>
      <c r="AD40" s="321"/>
      <c r="AE40" s="321"/>
      <c r="AF40" s="321"/>
      <c r="AG40" s="321"/>
      <c r="AH40" s="321"/>
      <c r="AI40" s="321"/>
      <c r="AJ40" s="321"/>
      <c r="AK40" s="312"/>
      <c r="AL40" s="312" t="str">
        <f ca="1">$E$36</f>
        <v>ㄅㆠㄆㄇㄉㄊㄋㄌㄍㆣㄎㄫㄗㄘㄙㆡㄐㄑㄒㆢㄏㄧㆪㄨㆫㄚㆩㆤㆥㆦㆧㄜㄢㄞㆮㄠㆯㆱㆰㆲㄤㆨㆭㆬㄣ鼻ˉˋ˪ˊ˫˙</v>
      </c>
      <c r="AM40" s="195" t="str">
        <f ca="1" xml:space="preserve"> SUBSTITUTE(AL40, MID(AL40, FIND(AM38,AL40), 1), "")</f>
        <v>ㄅㄆㄇㄉㄊㄋㄌㄍㆣㄎㄫㄗㄘㄙㆡㄐㄑㄒㆢㄏㄧㆪㄨㆫㄚㆩㆤㆥㆦㆧㄜㄢㄞㆮㄠㆯㆱㆰㆲㄤㆨㆭㆬㄣ鼻ˉˋ˪ˊ˫˙</v>
      </c>
      <c r="AN40" s="195" t="str">
        <f t="shared" ref="AN40:AQ40" ca="1" si="11" xml:space="preserve"> SUBSTITUTE(AM40, MID(AM40, FIND(AN38,AM40), 1), "")</f>
        <v>ㄅㄆㄇㄉㄊㄋㄌㄍㄎㄫㄗㄘㄙㆡㄐㄑㄒㆢㄏㄧㆪㄨㆫㄚㆩㆤㆥㆦㆧㄜㄢㄞㆮㄠㆯㆱㆰㆲㄤㆨㆭㆬㄣ鼻ˉˋ˪ˊ˫˙</v>
      </c>
      <c r="AO40" s="195" t="str">
        <f t="shared" ca="1" si="11"/>
        <v>ㄅㄆㄇㄉㄊㄋㄌㄍㄎㄫㄗㄘㄙㆡㄐㄑㄒㆢㄏㄧㆪㄨㆫㄚㆩㆤㆥㆦㆧㄜㄢㄞㆮㄠㆯㆱㆰㄤㆨㆭㆬㄣ鼻ˉˋ˪ˊ˫˙</v>
      </c>
      <c r="AP40" s="195" t="str">
        <f t="shared" ca="1" si="11"/>
        <v>ㄅㄆㄇㄉㄊㄋㄌㄍㄎㄫㄗㄘㄙㆡㄐㄑㄒㆢㄏㄧㆪㄨㆫㄚㆩㆤㆥㆦㆧㄜㄢㄞㆮㄠㆯㆱㄤㆨㆭㆬㄣ鼻ˉˋ˪ˊ˫˙</v>
      </c>
      <c r="AQ40" s="337" t="str">
        <f t="shared" ca="1" si="11"/>
        <v>ㄅㄆㄇㄉㄊㄋㄌㄍㄎㄫㄗㄘㄙㆡㄐㄑㄒㆢㄏㄧㆪㄨㆫㄚㆩㆤㆥㆦㆧㄜㄢㄞㆮㄠㆯㄤㆨㆭㆬㄣ鼻ˉˋ˪ˊ˫˙</v>
      </c>
      <c r="AR40" s="312"/>
      <c r="AS40" s="312"/>
      <c r="AT40" s="312"/>
      <c r="AU40" s="312"/>
      <c r="AV40" s="312"/>
      <c r="AW40" s="312"/>
      <c r="AX40" s="312"/>
      <c r="AY40" s="312"/>
      <c r="AZ40" s="312"/>
      <c r="BA40" s="312"/>
      <c r="BB40" s="312"/>
      <c r="BC40" s="338"/>
      <c r="BD40" s="312"/>
      <c r="BE40" s="312"/>
      <c r="BF40" s="312"/>
      <c r="BG40" s="312"/>
      <c r="BH40" s="312"/>
      <c r="BJ40" s="280">
        <f t="shared" si="0"/>
        <v>37</v>
      </c>
      <c r="BK40" s="71" t="str">
        <f>'注音符號、電腦鍵盤與音標編碼'!C41</f>
        <v>L</v>
      </c>
      <c r="BL40" s="32" t="str">
        <f>'注音符號、電腦鍵盤與音標編碼'!D41</f>
        <v>ㄥㄠ</v>
      </c>
      <c r="BM40" s="178" t="str">
        <f>'注音符號、電腦鍵盤與音標編碼'!E41</f>
        <v>ㆯ</v>
      </c>
      <c r="BN40" s="34" t="str">
        <f>'注音符號、電腦鍵盤與音標編碼'!F41</f>
        <v>X</v>
      </c>
      <c r="BO40" s="107" t="str">
        <f>'注音符號、電腦鍵盤與音標編碼'!G41</f>
        <v>Nau</v>
      </c>
      <c r="BP40" s="107"/>
      <c r="BR40" s="281" t="str">
        <f t="shared" si="1"/>
        <v>"L": { commit: "ㄥㄠ" }</v>
      </c>
      <c r="BT40" s="195">
        <f t="shared" si="9"/>
        <v>36</v>
      </c>
      <c r="BU40" s="282" t="str">
        <f t="shared" si="3"/>
        <v>- xform/X/L/</v>
      </c>
      <c r="BW40" s="282" t="str">
        <f t="shared" si="4"/>
        <v>- xform/L/ㄥㄠ/</v>
      </c>
    </row>
    <row r="41" spans="1:89" s="195" customFormat="1" ht="45" customHeight="1">
      <c r="B41" s="325" t="str">
        <f ca="1" xml:space="preserve"> "- xlit|" &amp; E39 &amp; "|" &amp; E40 &amp; "|"</f>
        <v>- xlit|1!qa2wsxeEd?yhnbYHNBcuUjJ8*,&lt;iIk09(lLOA:;o/mp. 43657|ㄅㆠㄆㄇㄉㄊㄋㄌㄍㆣㄎㄫㄗㄘㄙㆡㄐㄑㄒㆢㄏㄧㆪㄨㆫㄚㆩㆤㆥㆦㆧㄜㄢㄞㆮㄠㆯㆱㆰㆲㄤㆨㆭㆬㄣ鼻ˉˋ˪ˊ˫˙|</v>
      </c>
      <c r="C41" s="326"/>
      <c r="D41" s="326"/>
      <c r="E41" s="326"/>
      <c r="F41" s="326"/>
      <c r="G41" s="326"/>
      <c r="H41" s="326"/>
      <c r="I41" s="326"/>
      <c r="J41" s="326"/>
      <c r="K41" s="326"/>
      <c r="L41" s="326"/>
      <c r="M41" s="326"/>
      <c r="N41" s="326"/>
      <c r="O41" s="326"/>
      <c r="P41" s="326"/>
      <c r="Q41" s="326"/>
      <c r="R41" s="326"/>
      <c r="S41" s="326"/>
      <c r="T41" s="326"/>
      <c r="U41" s="326"/>
      <c r="V41" s="326"/>
      <c r="W41" s="326"/>
      <c r="X41" s="326"/>
      <c r="Y41" s="326"/>
      <c r="Z41" s="326"/>
      <c r="AA41" s="326"/>
      <c r="AB41" s="326"/>
      <c r="AC41" s="326"/>
      <c r="AD41" s="326"/>
      <c r="AE41" s="326"/>
      <c r="AF41" s="326"/>
      <c r="AG41" s="326"/>
      <c r="AH41" s="326"/>
      <c r="AI41" s="326"/>
      <c r="AJ41" s="326"/>
      <c r="AK41" s="338"/>
      <c r="AL41" s="338"/>
      <c r="AM41" s="338"/>
      <c r="AN41" s="338"/>
      <c r="AO41" s="338"/>
      <c r="AP41" s="338"/>
      <c r="AQ41" s="338"/>
      <c r="AR41" s="338"/>
      <c r="AS41" s="338"/>
      <c r="AT41" s="338"/>
      <c r="AU41" s="338"/>
      <c r="AV41" s="338"/>
      <c r="AW41" s="338"/>
      <c r="AX41" s="338"/>
      <c r="AY41" s="338"/>
      <c r="AZ41" s="338"/>
      <c r="BA41" s="338"/>
      <c r="BB41" s="338"/>
      <c r="BC41" s="338"/>
      <c r="BD41" s="312"/>
      <c r="BE41" s="312"/>
      <c r="BF41" s="312"/>
      <c r="BG41" s="312"/>
      <c r="BH41" s="312"/>
      <c r="BJ41" s="280">
        <f t="shared" si="0"/>
        <v>38</v>
      </c>
      <c r="BK41" s="71" t="str">
        <f>'注音符號、電腦鍵盤與音標編碼'!C42</f>
        <v>O</v>
      </c>
      <c r="BL41" s="32" t="str">
        <f>'注音符號、電腦鍵盤與音標編碼'!D42</f>
        <v>ㄛㄇ</v>
      </c>
      <c r="BM41" s="178" t="str">
        <f>'注音符號、電腦鍵盤與音標編碼'!E42</f>
        <v>ㆱ</v>
      </c>
      <c r="BN41" s="34" t="str">
        <f>'注音符號、電腦鍵盤與音標編碼'!F42</f>
        <v>}</v>
      </c>
      <c r="BO41" s="107" t="str">
        <f>'注音符號、電腦鍵盤與音標編碼'!G42</f>
        <v>om</v>
      </c>
      <c r="BP41" s="107"/>
      <c r="BR41" s="281" t="str">
        <f t="shared" si="1"/>
        <v>"O": { commit: "ㄛㄇ" }</v>
      </c>
      <c r="BT41" s="195">
        <f t="shared" si="9"/>
        <v>37</v>
      </c>
      <c r="BU41" s="282" t="str">
        <f t="shared" si="3"/>
        <v>- xform/}/O/</v>
      </c>
      <c r="BW41" s="282" t="str">
        <f t="shared" si="4"/>
        <v>- xform/O/ㄛㄇ/</v>
      </c>
    </row>
    <row r="42" spans="1:89" s="195" customFormat="1" ht="45" customHeight="1">
      <c r="AH42" s="312"/>
      <c r="AI42" s="312"/>
      <c r="AJ42" s="312"/>
      <c r="AK42" s="338"/>
      <c r="AL42" s="338"/>
      <c r="AM42" s="312" t="str">
        <f ca="1">AQ39</f>
        <v>1qa2wsxed?yhnbYHNBcuUjJ8*,&lt;iIk09(lL;o/mp. 43657</v>
      </c>
      <c r="AN42" s="338"/>
      <c r="AO42" s="338"/>
      <c r="AP42" s="338"/>
      <c r="AQ42" s="338"/>
      <c r="AR42" s="338"/>
      <c r="AS42" s="338"/>
      <c r="AT42" s="338"/>
      <c r="AU42" s="338"/>
      <c r="AV42" s="338"/>
      <c r="AW42" s="338"/>
      <c r="AX42" s="338"/>
      <c r="AY42" s="338"/>
      <c r="AZ42" s="338"/>
      <c r="BA42" s="338"/>
      <c r="BB42" s="338"/>
      <c r="BC42" s="338"/>
      <c r="BD42" s="312"/>
      <c r="BE42" s="312"/>
      <c r="BF42" s="312"/>
      <c r="BG42" s="312"/>
      <c r="BH42" s="312"/>
      <c r="BJ42" s="280">
        <f t="shared" si="0"/>
        <v>39</v>
      </c>
      <c r="BK42" s="71" t="str">
        <f>'注音符號、電腦鍵盤與音標編碼'!C43</f>
        <v>A</v>
      </c>
      <c r="BL42" s="32" t="str">
        <f>'注音符號、電腦鍵盤與音標編碼'!D43</f>
        <v>ㄚㄇ</v>
      </c>
      <c r="BM42" s="178" t="str">
        <f>'注音符號、電腦鍵盤與音標編碼'!E43</f>
        <v>ㆰ</v>
      </c>
      <c r="BN42" s="34" t="str">
        <f>'注音符號、電腦鍵盤與音標編碼'!F43</f>
        <v>{</v>
      </c>
      <c r="BO42" s="107" t="str">
        <f>'注音符號、電腦鍵盤與音標編碼'!G43</f>
        <v>am</v>
      </c>
      <c r="BP42" s="107"/>
      <c r="BR42" s="281" t="str">
        <f t="shared" si="1"/>
        <v>"A": { commit: "ㄚㄇ" }</v>
      </c>
      <c r="BT42" s="195">
        <f t="shared" si="9"/>
        <v>38</v>
      </c>
      <c r="BU42" s="282" t="str">
        <f t="shared" si="3"/>
        <v>- xform/{/A/</v>
      </c>
      <c r="BW42" s="282" t="str">
        <f t="shared" si="4"/>
        <v>- xform/A/ㄚㄇ/</v>
      </c>
    </row>
    <row r="43" spans="1:89" ht="45" customHeight="1">
      <c r="A43" s="195"/>
      <c r="B43" s="329" t="s">
        <v>580</v>
      </c>
      <c r="C43" s="315"/>
      <c r="D43" s="315"/>
      <c r="E43" s="315"/>
      <c r="F43" s="315"/>
      <c r="G43" s="315"/>
      <c r="H43" s="315"/>
      <c r="I43" s="315"/>
      <c r="J43" s="315"/>
      <c r="K43" s="315"/>
      <c r="L43" s="315"/>
      <c r="M43" s="315"/>
      <c r="N43" s="315"/>
      <c r="O43" s="315"/>
      <c r="P43" s="315"/>
      <c r="Q43" s="315"/>
      <c r="R43" s="315"/>
      <c r="S43" s="315"/>
      <c r="T43" s="315"/>
      <c r="U43" s="315"/>
      <c r="V43" s="315"/>
      <c r="W43" s="315"/>
      <c r="X43" s="315"/>
      <c r="Y43" s="315"/>
      <c r="Z43" s="315"/>
      <c r="AA43" s="315"/>
      <c r="AB43" s="315"/>
      <c r="AC43" s="315"/>
      <c r="AD43" s="315"/>
      <c r="AE43" s="315"/>
      <c r="AF43" s="315"/>
      <c r="AG43" s="315"/>
      <c r="AH43" s="312"/>
      <c r="AI43" s="312"/>
      <c r="AJ43" s="312"/>
      <c r="AK43" s="338"/>
      <c r="AL43" s="338"/>
      <c r="AM43" s="312" t="str">
        <f ca="1">AQ40</f>
        <v>ㄅㄆㄇㄉㄊㄋㄌㄍㄎㄫㄗㄘㄙㆡㄐㄑㄒㆢㄏㄧㆪㄨㆫㄚㆩㆤㆥㆦㆧㄜㄢㄞㆮㄠㆯㄤㆨㆭㆬㄣ鼻ˉˋ˪ˊ˫˙</v>
      </c>
      <c r="AN43" s="338"/>
      <c r="AO43" s="338"/>
      <c r="AP43" s="338"/>
      <c r="AQ43" s="338"/>
      <c r="AR43" s="338"/>
      <c r="AS43" s="338"/>
      <c r="AT43" s="338"/>
      <c r="AU43" s="338"/>
      <c r="AV43" s="338"/>
      <c r="AW43" s="338"/>
      <c r="AX43" s="338"/>
      <c r="AY43" s="338"/>
      <c r="AZ43" s="338"/>
      <c r="BA43" s="338"/>
      <c r="BB43" s="338"/>
      <c r="BC43" s="338"/>
      <c r="BD43" s="312"/>
      <c r="BE43" s="312"/>
      <c r="BF43" s="312"/>
      <c r="BG43" s="338"/>
      <c r="BH43" s="338"/>
      <c r="BJ43" s="280">
        <f t="shared" si="0"/>
        <v>40</v>
      </c>
      <c r="BK43" s="71" t="str">
        <f>'注音符號、電腦鍵盤與音標編碼'!C44</f>
        <v>:</v>
      </c>
      <c r="BL43" s="32" t="str">
        <f>'注音符號、電腦鍵盤與音標編碼'!D44</f>
        <v>ㄛㄥ</v>
      </c>
      <c r="BM43" s="178" t="str">
        <f>'注音符號、電腦鍵盤與音標編碼'!E44</f>
        <v>ㆲ</v>
      </c>
      <c r="BN43" s="34" t="str">
        <f>'注音符號、電腦鍵盤與音標編碼'!F44</f>
        <v>]</v>
      </c>
      <c r="BO43" s="107" t="str">
        <f>'注音符號、電腦鍵盤與音標編碼'!G44</f>
        <v>ong</v>
      </c>
      <c r="BP43" s="107"/>
      <c r="BQ43" s="195"/>
      <c r="BR43" s="281" t="str">
        <f t="shared" si="1"/>
        <v>":": { commit: "ㄛㄥ" }</v>
      </c>
      <c r="BS43" s="195"/>
      <c r="BT43" s="195">
        <f t="shared" si="9"/>
        <v>39</v>
      </c>
      <c r="BU43" s="282" t="str">
        <f t="shared" si="3"/>
        <v>- xform/]/:/</v>
      </c>
      <c r="BV43" s="195"/>
      <c r="BW43" s="282" t="str">
        <f t="shared" si="4"/>
        <v>- xform/:/ㄛㄥ/</v>
      </c>
      <c r="BX43" s="195"/>
      <c r="BY43" s="195"/>
      <c r="BZ43" s="195"/>
      <c r="CA43" s="195"/>
      <c r="CB43" s="195"/>
      <c r="CC43" s="195"/>
      <c r="CD43" s="195"/>
      <c r="CE43" s="195"/>
      <c r="CF43" s="195"/>
      <c r="CG43" s="195"/>
      <c r="CH43" s="195"/>
      <c r="CI43" s="195"/>
      <c r="CJ43" s="195"/>
      <c r="CK43" s="195"/>
    </row>
    <row r="44" spans="1:89" ht="45" customHeight="1">
      <c r="B44" s="315" t="s">
        <v>581</v>
      </c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5"/>
      <c r="N44" s="315"/>
      <c r="O44" s="315"/>
      <c r="P44" s="315"/>
      <c r="Q44" s="315"/>
      <c r="R44" s="315"/>
      <c r="S44" s="316"/>
      <c r="T44" s="315"/>
      <c r="U44" s="315"/>
      <c r="V44" s="315"/>
      <c r="W44" s="315"/>
      <c r="X44" s="315"/>
      <c r="Y44" s="315"/>
      <c r="Z44" s="315"/>
      <c r="AA44" s="315"/>
      <c r="AB44" s="315"/>
      <c r="AC44" s="315"/>
      <c r="AD44" s="315"/>
      <c r="AE44" s="315"/>
      <c r="AF44" s="315"/>
      <c r="AG44" s="315"/>
      <c r="AH44" s="312"/>
      <c r="AI44" s="312"/>
      <c r="AJ44" s="312"/>
      <c r="AK44" s="338"/>
      <c r="AL44" s="338"/>
      <c r="AM44" s="338"/>
      <c r="AN44" s="338"/>
      <c r="AO44" s="338"/>
      <c r="AP44" s="338"/>
      <c r="AQ44" s="338"/>
      <c r="AR44" s="338"/>
      <c r="AS44" s="338"/>
      <c r="AT44" s="338"/>
      <c r="AU44" s="338"/>
      <c r="AV44" s="338"/>
      <c r="AW44" s="338"/>
      <c r="AX44" s="338"/>
      <c r="AY44" s="338"/>
      <c r="AZ44" s="338"/>
      <c r="BA44" s="338"/>
      <c r="BB44" s="338"/>
      <c r="BC44" s="338"/>
      <c r="BD44" s="338"/>
      <c r="BE44" s="338"/>
      <c r="BF44" s="338"/>
      <c r="BG44" s="338"/>
      <c r="BH44" s="338"/>
      <c r="BJ44" s="280">
        <f t="shared" si="0"/>
        <v>41</v>
      </c>
      <c r="BK44" s="71" t="str">
        <f>'注音符號、電腦鍵盤與音標編碼'!C45</f>
        <v>;</v>
      </c>
      <c r="BL44" s="32" t="str">
        <f>'注音符號、電腦鍵盤與音標編碼'!D45</f>
        <v>ㄤ</v>
      </c>
      <c r="BM44" s="178" t="str">
        <f>'注音符號、電腦鍵盤與音標編碼'!E45</f>
        <v>ㄤ</v>
      </c>
      <c r="BN44" s="34" t="str">
        <f>'注音符號、電腦鍵盤與音標編碼'!F45</f>
        <v>[</v>
      </c>
      <c r="BO44" s="107" t="str">
        <f>'注音符號、電腦鍵盤與音標編碼'!G45</f>
        <v>ang</v>
      </c>
      <c r="BP44" s="107"/>
      <c r="BR44" s="281" t="str">
        <f t="shared" si="1"/>
        <v>";": { commit: "ㄤ" }</v>
      </c>
      <c r="BT44" s="237">
        <f t="shared" si="9"/>
        <v>40</v>
      </c>
      <c r="BU44" s="282" t="str">
        <f t="shared" si="3"/>
        <v>- xform/[/;/</v>
      </c>
      <c r="BW44" s="282" t="str">
        <f t="shared" si="4"/>
        <v>- xform/;/ㄤ/</v>
      </c>
    </row>
    <row r="45" spans="1:89" ht="45" customHeight="1">
      <c r="B45" s="330" t="s">
        <v>582</v>
      </c>
      <c r="C45" s="331"/>
      <c r="D45" s="331">
        <f ca="1" xml:space="preserve"> LEN(E45)</f>
        <v>52</v>
      </c>
      <c r="E45" s="332" t="str">
        <f ca="1" xml:space="preserve"> _xlfn.CONCAT(D21:BC21)</f>
        <v>pbPmtTnlkgKwzcsjZCSJhiIuUaAeEOQo@yYxX}{][RWMNB123570</v>
      </c>
      <c r="F45" s="332"/>
      <c r="G45" s="332"/>
      <c r="H45" s="332"/>
      <c r="I45" s="332"/>
      <c r="J45" s="332"/>
      <c r="K45" s="332"/>
      <c r="L45" s="332"/>
      <c r="M45" s="332"/>
      <c r="N45" s="332"/>
      <c r="O45" s="332"/>
      <c r="P45" s="332"/>
      <c r="Q45" s="332"/>
      <c r="R45" s="332"/>
      <c r="S45" s="332"/>
      <c r="T45" s="332"/>
      <c r="U45" s="332"/>
      <c r="V45" s="332"/>
      <c r="W45" s="332"/>
      <c r="X45" s="332"/>
      <c r="Y45" s="332"/>
      <c r="Z45" s="332"/>
      <c r="AA45" s="332"/>
      <c r="AB45" s="332"/>
      <c r="AC45" s="332"/>
      <c r="AD45" s="332"/>
      <c r="AE45" s="332"/>
      <c r="AF45" s="332"/>
      <c r="AG45" s="332"/>
      <c r="AH45" s="332"/>
      <c r="AI45" s="332"/>
      <c r="AJ45" s="332"/>
      <c r="AK45" s="338"/>
      <c r="AL45" s="338"/>
      <c r="AM45" s="338"/>
      <c r="AN45" s="338"/>
      <c r="AO45" s="338"/>
      <c r="AP45" s="338"/>
      <c r="AQ45" s="338"/>
      <c r="AR45" s="338"/>
      <c r="AS45" s="338"/>
      <c r="AT45" s="338"/>
      <c r="AU45" s="338"/>
      <c r="AV45" s="338"/>
      <c r="AW45" s="338"/>
      <c r="AX45" s="338"/>
      <c r="AY45" s="338"/>
      <c r="AZ45" s="338"/>
      <c r="BA45" s="338"/>
      <c r="BB45" s="338"/>
      <c r="BG45" s="338"/>
      <c r="BH45" s="338"/>
      <c r="BJ45" s="280">
        <f t="shared" si="0"/>
        <v>42</v>
      </c>
      <c r="BK45" s="71" t="str">
        <f>'注音符號、電腦鍵盤與音標編碼'!C46</f>
        <v>o</v>
      </c>
      <c r="BL45" s="32" t="str">
        <f>'注音符號、電腦鍵盤與音標編碼'!D46</f>
        <v>ㄦ</v>
      </c>
      <c r="BM45" s="178" t="str">
        <f>'注音符號、電腦鍵盤與音標編碼'!E46</f>
        <v>ㆨ</v>
      </c>
      <c r="BN45" s="34" t="str">
        <f>'注音符號、電腦鍵盤與音標編碼'!F46</f>
        <v>R</v>
      </c>
      <c r="BO45" s="107" t="str">
        <f>'注音符號、電腦鍵盤與音標編碼'!G46</f>
        <v>ir</v>
      </c>
      <c r="BP45" s="107"/>
      <c r="BR45" s="281" t="str">
        <f t="shared" si="1"/>
        <v>"o": { commit: "ㄦ" }</v>
      </c>
      <c r="BT45" s="237">
        <f t="shared" si="9"/>
        <v>41</v>
      </c>
      <c r="BU45" s="282" t="str">
        <f t="shared" si="3"/>
        <v>- xform/R/o/</v>
      </c>
      <c r="BW45" s="282" t="str">
        <f t="shared" si="4"/>
        <v>- xform/o/ㄦ/</v>
      </c>
    </row>
    <row r="46" spans="1:89" ht="45" customHeight="1">
      <c r="B46" s="333" t="s">
        <v>15</v>
      </c>
      <c r="C46" s="334"/>
      <c r="D46" s="334">
        <f ca="1">LEN(E46)</f>
        <v>52</v>
      </c>
      <c r="E46" s="333" t="str">
        <f ca="1" xml:space="preserve"> _xlfn.CONCAT(D19:BC19)</f>
        <v>ㄅㆠㄆㄇㄉㄊㄋㄌㄍㆣㄎㄫㄗㄘㄙㆡㄐㄑㄒㆢㄏㄧㆪㄨㆫㄚㆩㆤㆥㆦㆧㄜㄢㄞㆮㄠㆯㆱㆰㆲㄤㆨㆭㆬㄣ鼻ˉˋ˪ˊ˫˙</v>
      </c>
      <c r="F46" s="333"/>
      <c r="G46" s="333"/>
      <c r="H46" s="333"/>
      <c r="I46" s="333"/>
      <c r="J46" s="333"/>
      <c r="K46" s="333"/>
      <c r="L46" s="333"/>
      <c r="M46" s="333"/>
      <c r="N46" s="333"/>
      <c r="O46" s="333"/>
      <c r="P46" s="333"/>
      <c r="Q46" s="333"/>
      <c r="R46" s="333"/>
      <c r="S46" s="333"/>
      <c r="T46" s="333"/>
      <c r="U46" s="333"/>
      <c r="V46" s="333"/>
      <c r="W46" s="333"/>
      <c r="X46" s="333"/>
      <c r="Y46" s="333"/>
      <c r="Z46" s="333"/>
      <c r="AA46" s="333"/>
      <c r="AB46" s="333"/>
      <c r="AC46" s="333"/>
      <c r="AD46" s="333"/>
      <c r="AE46" s="333"/>
      <c r="AF46" s="333"/>
      <c r="AG46" s="333"/>
      <c r="AH46" s="333"/>
      <c r="AI46" s="333"/>
      <c r="AJ46" s="333"/>
      <c r="BG46" s="338"/>
      <c r="BH46" s="338"/>
      <c r="BJ46" s="280">
        <f t="shared" si="0"/>
        <v>43</v>
      </c>
      <c r="BK46" s="71" t="str">
        <f>'注音符號、電腦鍵盤與音標編碼'!C47</f>
        <v>/</v>
      </c>
      <c r="BL46" s="32" t="str">
        <f>'注音符號、電腦鍵盤與音標編碼'!D47</f>
        <v>ㄥ</v>
      </c>
      <c r="BM46" s="178" t="str">
        <f>'注音符號、電腦鍵盤與音標編碼'!E47</f>
        <v>ㆭ</v>
      </c>
      <c r="BN46" s="34" t="str">
        <f>'注音符號、電腦鍵盤與音標編碼'!F47</f>
        <v>W</v>
      </c>
      <c r="BO46" s="107" t="str">
        <f>'注音符號、電腦鍵盤與音標編碼'!G47</f>
        <v>ng</v>
      </c>
      <c r="BP46" s="107"/>
      <c r="BR46" s="281" t="str">
        <f t="shared" si="1"/>
        <v>"/": { commit: "ㄥ" }</v>
      </c>
      <c r="BT46" s="237">
        <f t="shared" si="9"/>
        <v>42</v>
      </c>
      <c r="BU46" s="282" t="str">
        <f t="shared" si="3"/>
        <v>- xform/W///</v>
      </c>
      <c r="BW46" s="282" t="str">
        <f t="shared" si="4"/>
        <v>- xform///ㄥ/</v>
      </c>
    </row>
    <row r="47" spans="1:89" ht="45" customHeight="1">
      <c r="B47" s="325" t="str">
        <f ca="1" xml:space="preserve"> "- xlit|" &amp; E45 &amp; "|" &amp; E46 &amp; "|"</f>
        <v>- xlit|pbPmtTnlkgKwzcsjZCSJhiIuUaAeEOQo@yYxX}{][RWMNB123570|ㄅㆠㄆㄇㄉㄊㄋㄌㄍㆣㄎㄫㄗㄘㄙㆡㄐㄑㄒㆢㄏㄧㆪㄨㆫㄚㆩㆤㆥㆦㆧㄜㄢㄞㆮㄠㆯㆱㆰㆲㄤㆨㆭㆬㄣ鼻ˉˋ˪ˊ˫˙|</v>
      </c>
      <c r="C47" s="336"/>
      <c r="D47" s="336"/>
      <c r="E47" s="336"/>
      <c r="F47" s="336"/>
      <c r="G47" s="336"/>
      <c r="H47" s="336"/>
      <c r="I47" s="336"/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6"/>
      <c r="AA47" s="336"/>
      <c r="AB47" s="336"/>
      <c r="AC47" s="336"/>
      <c r="AD47" s="336"/>
      <c r="AE47" s="336"/>
      <c r="AF47" s="336"/>
      <c r="AG47" s="326"/>
      <c r="AH47" s="326"/>
      <c r="AI47" s="326"/>
      <c r="AJ47" s="326"/>
      <c r="BG47" s="338"/>
      <c r="BH47" s="338"/>
      <c r="BJ47" s="280">
        <f t="shared" si="0"/>
        <v>44</v>
      </c>
      <c r="BK47" s="71" t="str">
        <f>'注音符號、電腦鍵盤與音標編碼'!C48</f>
        <v>m</v>
      </c>
      <c r="BL47" s="32" t="str">
        <f>'注音符號、電腦鍵盤與音標編碼'!D48</f>
        <v>ㄇ</v>
      </c>
      <c r="BM47" s="178" t="str">
        <f>'注音符號、電腦鍵盤與音標編碼'!E48</f>
        <v>ㆬ</v>
      </c>
      <c r="BN47" s="34" t="str">
        <f>'注音符號、電腦鍵盤與音標編碼'!F48</f>
        <v>M</v>
      </c>
      <c r="BO47" s="107" t="str">
        <f>'注音符號、電腦鍵盤與音標編碼'!G48</f>
        <v>m</v>
      </c>
      <c r="BP47" s="107"/>
      <c r="BR47" s="281" t="str">
        <f t="shared" si="1"/>
        <v>"m": { commit: "ㄇ" }</v>
      </c>
      <c r="BT47" s="237">
        <f t="shared" si="9"/>
        <v>43</v>
      </c>
      <c r="BU47" s="282" t="str">
        <f t="shared" si="3"/>
        <v>- xform/M/m/</v>
      </c>
      <c r="BW47" s="282" t="str">
        <f t="shared" si="4"/>
        <v>- xform/m/ㄇ/</v>
      </c>
    </row>
    <row r="48" spans="1:89" ht="45" customHeight="1">
      <c r="B48" s="338"/>
      <c r="C48" s="338"/>
      <c r="D48" s="338"/>
      <c r="E48" s="338"/>
      <c r="F48" s="338"/>
      <c r="G48" s="338"/>
      <c r="H48" s="338"/>
      <c r="I48" s="338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38"/>
      <c r="AA48" s="338"/>
      <c r="AB48" s="338"/>
      <c r="AC48" s="338"/>
      <c r="AD48" s="338"/>
      <c r="AE48" s="338"/>
      <c r="AF48" s="338"/>
      <c r="AG48" s="338"/>
      <c r="AH48" s="338"/>
      <c r="AI48" s="338"/>
      <c r="AJ48" s="338"/>
      <c r="BG48" s="338"/>
      <c r="BH48" s="338"/>
      <c r="BJ48" s="280">
        <f t="shared" si="0"/>
        <v>45</v>
      </c>
      <c r="BK48" s="71" t="str">
        <f>'注音符號、電腦鍵盤與音標編碼'!C49</f>
        <v>p</v>
      </c>
      <c r="BL48" s="32" t="str">
        <f>'注音符號、電腦鍵盤與音標編碼'!D49</f>
        <v>ㄣ</v>
      </c>
      <c r="BM48" s="178" t="str">
        <f>'注音符號、電腦鍵盤與音標編碼'!E49</f>
        <v>ㄣ</v>
      </c>
      <c r="BN48" s="34" t="str">
        <f>'注音符號、電腦鍵盤與音標編碼'!F49</f>
        <v>N</v>
      </c>
      <c r="BO48" s="107" t="str">
        <f>'注音符號、電腦鍵盤與音標編碼'!G49</f>
        <v>n</v>
      </c>
      <c r="BP48" s="107"/>
      <c r="BR48" s="281" t="str">
        <f t="shared" si="1"/>
        <v>"p": { commit: "ㄣ" }</v>
      </c>
      <c r="BT48" s="237">
        <f t="shared" si="9"/>
        <v>44</v>
      </c>
      <c r="BU48" s="282" t="str">
        <f t="shared" si="3"/>
        <v>- xform/N/p/</v>
      </c>
      <c r="BW48" s="282" t="str">
        <f t="shared" si="4"/>
        <v>- xform/p/ㄣ/</v>
      </c>
    </row>
    <row r="49" spans="2:75" ht="45" customHeight="1">
      <c r="B49" s="338"/>
      <c r="C49" s="338"/>
      <c r="D49" s="338"/>
      <c r="E49" s="338"/>
      <c r="F49" s="338"/>
      <c r="G49" s="338"/>
      <c r="H49" s="338"/>
      <c r="I49" s="338"/>
      <c r="J49" s="338"/>
      <c r="K49" s="338"/>
      <c r="L49" s="338"/>
      <c r="M49" s="338"/>
      <c r="N49" s="338"/>
      <c r="O49" s="338"/>
      <c r="P49" s="338"/>
      <c r="Q49" s="338"/>
      <c r="R49" s="338"/>
      <c r="S49" s="338"/>
      <c r="T49" s="338"/>
      <c r="U49" s="338"/>
      <c r="V49" s="338"/>
      <c r="W49" s="338"/>
      <c r="X49" s="338"/>
      <c r="Y49" s="338"/>
      <c r="Z49" s="338"/>
      <c r="AA49" s="338"/>
      <c r="AB49" s="338"/>
      <c r="AC49" s="338"/>
      <c r="AD49" s="338"/>
      <c r="AE49" s="338"/>
      <c r="AF49" s="338"/>
      <c r="AG49" s="338"/>
      <c r="AH49" s="338"/>
      <c r="AI49" s="338"/>
      <c r="AJ49" s="338"/>
      <c r="BG49" s="338"/>
      <c r="BH49" s="338"/>
      <c r="BJ49" s="280">
        <f t="shared" si="0"/>
        <v>46</v>
      </c>
      <c r="BK49" s="71" t="str">
        <f>'注音符號、電腦鍵盤與音標編碼'!C50</f>
        <v>.</v>
      </c>
      <c r="BL49" s="32" t="str">
        <f>'注音符號、電腦鍵盤與音標編碼'!D50</f>
        <v>鼻</v>
      </c>
      <c r="BM49" s="178" t="str">
        <f>'注音符號、電腦鍵盤與音標編碼'!E50</f>
        <v>鼻</v>
      </c>
      <c r="BN49" s="34" t="str">
        <f>'注音符號、電腦鍵盤與音標編碼'!F50</f>
        <v>B</v>
      </c>
      <c r="BO49" s="107" t="str">
        <f>'注音符號、電腦鍵盤與音標編碼'!G50</f>
        <v>N</v>
      </c>
      <c r="BP49" s="107"/>
      <c r="BR49" s="281" t="str">
        <f t="shared" si="1"/>
        <v>".": { commit: "鼻" }</v>
      </c>
      <c r="BT49" s="237">
        <f t="shared" si="9"/>
        <v>45</v>
      </c>
      <c r="BU49" s="238" t="str">
        <f t="shared" si="3"/>
        <v>- xform/B/./</v>
      </c>
      <c r="BW49" s="238" t="str">
        <f t="shared" si="4"/>
        <v>- xform/./鼻/</v>
      </c>
    </row>
    <row r="50" spans="2:75" ht="45" customHeight="1">
      <c r="B50" s="338"/>
      <c r="C50" s="338"/>
      <c r="D50" s="338"/>
      <c r="BC50" s="338"/>
      <c r="BD50" s="338"/>
      <c r="BE50" s="338"/>
      <c r="BF50" s="338"/>
      <c r="BG50" s="338"/>
      <c r="BH50" s="338"/>
      <c r="BJ50" s="280">
        <f t="shared" si="0"/>
        <v>47</v>
      </c>
      <c r="BK50" s="71" t="str">
        <f>'注音符號、電腦鍵盤與音標編碼'!C51</f>
        <v xml:space="preserve"> </v>
      </c>
      <c r="BL50" s="32" t="str">
        <f>'注音符號、電腦鍵盤與音標編碼'!D51</f>
        <v>ˉ</v>
      </c>
      <c r="BM50" s="178" t="str">
        <f>'注音符號、電腦鍵盤與音標編碼'!E51</f>
        <v>ˉ</v>
      </c>
      <c r="BN50" s="34">
        <f>'注音符號、電腦鍵盤與音標編碼'!F51</f>
        <v>1</v>
      </c>
      <c r="BO50" s="107">
        <f>'注音符號、電腦鍵盤與音標編碼'!G51</f>
        <v>1</v>
      </c>
      <c r="BP50" s="111"/>
      <c r="BR50" s="281" t="str">
        <f t="shared" si="1"/>
        <v>" ": { commit: "ˉ" }</v>
      </c>
      <c r="BT50" s="237">
        <f t="shared" si="9"/>
        <v>46</v>
      </c>
      <c r="BU50" s="238" t="str">
        <f t="shared" si="3"/>
        <v>- xform/1/ /</v>
      </c>
      <c r="BW50" s="238" t="str">
        <f t="shared" si="4"/>
        <v>- xform/ /ˉ/</v>
      </c>
    </row>
    <row r="51" spans="2:75" ht="45" customHeight="1">
      <c r="AK51" s="338"/>
      <c r="AL51" s="338"/>
      <c r="AM51" s="338"/>
      <c r="AN51" s="338"/>
      <c r="AO51" s="338"/>
      <c r="AP51" s="338"/>
      <c r="AQ51" s="338"/>
      <c r="AR51" s="338"/>
      <c r="AS51" s="338"/>
      <c r="AT51" s="338"/>
      <c r="AU51" s="338"/>
      <c r="AV51" s="338"/>
      <c r="AW51" s="338"/>
      <c r="AX51" s="338"/>
      <c r="AY51" s="338"/>
      <c r="AZ51" s="338"/>
      <c r="BA51" s="338"/>
      <c r="BB51" s="338"/>
      <c r="BC51" s="338"/>
      <c r="BD51" s="338"/>
      <c r="BE51" s="338"/>
      <c r="BF51" s="338"/>
      <c r="BG51" s="338"/>
      <c r="BH51" s="338"/>
      <c r="BJ51" s="280">
        <f t="shared" si="0"/>
        <v>48</v>
      </c>
      <c r="BK51" s="71">
        <f>'注音符號、電腦鍵盤與音標編碼'!C52</f>
        <v>4</v>
      </c>
      <c r="BL51" s="32" t="str">
        <f>'注音符號、電腦鍵盤與音標編碼'!D52</f>
        <v>ˋ</v>
      </c>
      <c r="BM51" s="178" t="str">
        <f>'注音符號、電腦鍵盤與音標編碼'!E52</f>
        <v>ˋ</v>
      </c>
      <c r="BN51" s="34">
        <f>'注音符號、電腦鍵盤與音標編碼'!F52</f>
        <v>2</v>
      </c>
      <c r="BO51" s="107">
        <f>'注音符號、電腦鍵盤與音標編碼'!G52</f>
        <v>2</v>
      </c>
      <c r="BP51" s="111"/>
      <c r="BR51" s="281" t="str">
        <f t="shared" si="1"/>
        <v>"4": { commit: "ˋ" }</v>
      </c>
      <c r="BT51" s="237">
        <f t="shared" si="9"/>
        <v>47</v>
      </c>
      <c r="BU51" s="238" t="str">
        <f t="shared" si="3"/>
        <v>- xform/2/4/</v>
      </c>
      <c r="BW51" s="238" t="str">
        <f t="shared" si="4"/>
        <v>- xform/4/ˋ/</v>
      </c>
    </row>
    <row r="52" spans="2:75" ht="45" customHeight="1">
      <c r="AK52" s="338"/>
      <c r="AL52" s="338"/>
      <c r="AM52" s="338"/>
      <c r="AN52" s="338"/>
      <c r="AO52" s="338"/>
      <c r="AP52" s="338"/>
      <c r="AQ52" s="338"/>
      <c r="AR52" s="338"/>
      <c r="AS52" s="338"/>
      <c r="AT52" s="338"/>
      <c r="AU52" s="338"/>
      <c r="AV52" s="338"/>
      <c r="AW52" s="338"/>
      <c r="AX52" s="338"/>
      <c r="AY52" s="338"/>
      <c r="AZ52" s="338"/>
      <c r="BA52" s="338"/>
      <c r="BB52" s="338"/>
      <c r="BC52" s="338"/>
      <c r="BD52" s="338"/>
      <c r="BE52" s="338"/>
      <c r="BF52" s="338"/>
      <c r="BG52" s="338"/>
      <c r="BH52" s="338"/>
      <c r="BJ52" s="280">
        <f t="shared" si="0"/>
        <v>49</v>
      </c>
      <c r="BK52" s="71">
        <f>'注音符號、電腦鍵盤與音標編碼'!C53</f>
        <v>3</v>
      </c>
      <c r="BL52" s="32" t="str">
        <f>'注音符號、電腦鍵盤與音標編碼'!D53</f>
        <v>'</v>
      </c>
      <c r="BM52" s="178" t="str">
        <f>'注音符號、電腦鍵盤與音標編碼'!E53</f>
        <v>˪</v>
      </c>
      <c r="BN52" s="34">
        <f>'注音符號、電腦鍵盤與音標編碼'!F53</f>
        <v>3</v>
      </c>
      <c r="BO52" s="107">
        <f>'注音符號、電腦鍵盤與音標編碼'!G53</f>
        <v>3</v>
      </c>
      <c r="BP52" s="111"/>
      <c r="BR52" s="281" t="str">
        <f t="shared" si="1"/>
        <v>"3": { commit: "'" }</v>
      </c>
      <c r="BT52" s="237">
        <f t="shared" si="9"/>
        <v>48</v>
      </c>
      <c r="BU52" s="238" t="str">
        <f t="shared" si="3"/>
        <v>- xform/3/3/</v>
      </c>
      <c r="BW52" s="238" t="str">
        <f t="shared" si="4"/>
        <v>- xform/3/'/</v>
      </c>
    </row>
    <row r="53" spans="2:75" ht="45" customHeight="1">
      <c r="AK53" s="338"/>
      <c r="AL53" s="338"/>
      <c r="AM53" s="338"/>
      <c r="AN53" s="338"/>
      <c r="AO53" s="338"/>
      <c r="AP53" s="338"/>
      <c r="AQ53" s="338"/>
      <c r="AR53" s="338"/>
      <c r="AS53" s="338"/>
      <c r="AT53" s="338"/>
      <c r="AU53" s="338"/>
      <c r="AV53" s="338"/>
      <c r="AW53" s="338"/>
      <c r="AX53" s="338"/>
      <c r="AY53" s="338"/>
      <c r="AZ53" s="338"/>
      <c r="BA53" s="338"/>
      <c r="BB53" s="338"/>
      <c r="BC53" s="338"/>
      <c r="BD53" s="338"/>
      <c r="BE53" s="338"/>
      <c r="BF53" s="338"/>
      <c r="BG53" s="338"/>
      <c r="BH53" s="338"/>
      <c r="BJ53" s="280">
        <f t="shared" si="0"/>
        <v>50</v>
      </c>
      <c r="BK53" s="71">
        <f>'注音符號、電腦鍵盤與音標編碼'!C54</f>
        <v>6</v>
      </c>
      <c r="BL53" s="32" t="str">
        <f>'注音符號、電腦鍵盤與音標編碼'!D54</f>
        <v>ˇ</v>
      </c>
      <c r="BM53" s="178" t="str">
        <f>'注音符號、電腦鍵盤與音標編碼'!E54</f>
        <v>ˊ</v>
      </c>
      <c r="BN53" s="34">
        <f>'注音符號、電腦鍵盤與音標編碼'!F54</f>
        <v>5</v>
      </c>
      <c r="BO53" s="107">
        <f>'注音符號、電腦鍵盤與音標編碼'!G54</f>
        <v>5</v>
      </c>
      <c r="BP53" s="107"/>
      <c r="BR53" s="281" t="str">
        <f t="shared" si="1"/>
        <v>"6": { commit: "ˇ" }</v>
      </c>
      <c r="BT53" s="237">
        <f t="shared" si="9"/>
        <v>49</v>
      </c>
      <c r="BU53" s="238" t="str">
        <f t="shared" si="3"/>
        <v>- xform/5/6/</v>
      </c>
      <c r="BW53" s="238" t="str">
        <f t="shared" si="4"/>
        <v>- xform/6/ˇ/</v>
      </c>
    </row>
    <row r="54" spans="2:75" ht="45" customHeight="1">
      <c r="AK54" s="338"/>
      <c r="AL54" s="338"/>
      <c r="AM54" s="338"/>
      <c r="AN54" s="338"/>
      <c r="AO54" s="338"/>
      <c r="AP54" s="338"/>
      <c r="AQ54" s="338"/>
      <c r="AR54" s="338"/>
      <c r="AS54" s="338"/>
      <c r="AT54" s="338"/>
      <c r="AU54" s="338"/>
      <c r="AV54" s="338"/>
      <c r="AW54" s="338"/>
      <c r="AX54" s="338"/>
      <c r="AY54" s="338"/>
      <c r="AZ54" s="338"/>
      <c r="BA54" s="338"/>
      <c r="BB54" s="338"/>
      <c r="BC54" s="338"/>
      <c r="BD54" s="338"/>
      <c r="BE54" s="338"/>
      <c r="BF54" s="338"/>
      <c r="BG54" s="338"/>
      <c r="BH54" s="338"/>
      <c r="BJ54" s="280">
        <f t="shared" si="0"/>
        <v>51</v>
      </c>
      <c r="BK54" s="71">
        <f>'注音符號、電腦鍵盤與音標編碼'!C55</f>
        <v>5</v>
      </c>
      <c r="BL54" s="32" t="str">
        <f>'注音符號、電腦鍵盤與音標編碼'!D55</f>
        <v>"</v>
      </c>
      <c r="BM54" s="178" t="str">
        <f>'注音符號、電腦鍵盤與音標編碼'!E55</f>
        <v>˫</v>
      </c>
      <c r="BN54" s="34">
        <f>'注音符號、電腦鍵盤與音標編碼'!F55</f>
        <v>7</v>
      </c>
      <c r="BO54" s="107">
        <f>'注音符號、電腦鍵盤與音標編碼'!G55</f>
        <v>7</v>
      </c>
      <c r="BP54" s="107"/>
      <c r="BR54" s="281" t="str">
        <f t="shared" si="1"/>
        <v>"5": { commit: """ }</v>
      </c>
      <c r="BT54" s="237">
        <f t="shared" si="9"/>
        <v>50</v>
      </c>
      <c r="BU54" s="238" t="str">
        <f t="shared" si="3"/>
        <v>- xform/7/5/</v>
      </c>
      <c r="BW54" s="238" t="str">
        <f t="shared" si="4"/>
        <v>- xform/5/"/</v>
      </c>
    </row>
    <row r="55" spans="2:75" ht="45" customHeight="1">
      <c r="B55" s="338"/>
      <c r="C55" s="338"/>
      <c r="D55" s="338"/>
      <c r="E55" s="338"/>
      <c r="F55" s="338"/>
      <c r="G55" s="338"/>
      <c r="H55" s="338"/>
      <c r="I55" s="338"/>
      <c r="J55" s="338"/>
      <c r="K55" s="338"/>
      <c r="L55" s="338"/>
      <c r="M55" s="338"/>
      <c r="N55" s="338"/>
      <c r="O55" s="338"/>
      <c r="P55" s="338"/>
      <c r="Q55" s="338"/>
      <c r="R55" s="338"/>
      <c r="S55" s="338"/>
      <c r="T55" s="338"/>
      <c r="U55" s="338"/>
      <c r="V55" s="338"/>
      <c r="W55" s="338"/>
      <c r="X55" s="338"/>
      <c r="Y55" s="338"/>
      <c r="Z55" s="338"/>
      <c r="AA55" s="338"/>
      <c r="AB55" s="338"/>
      <c r="AC55" s="338"/>
      <c r="AD55" s="338"/>
      <c r="AE55" s="338"/>
      <c r="AF55" s="338"/>
      <c r="AG55" s="338"/>
      <c r="AH55" s="338"/>
      <c r="AI55" s="338"/>
      <c r="AJ55" s="338"/>
      <c r="AK55" s="338"/>
      <c r="AL55" s="338"/>
      <c r="AM55" s="338"/>
      <c r="AN55" s="338"/>
      <c r="AO55" s="338"/>
      <c r="AP55" s="338"/>
      <c r="AQ55" s="338"/>
      <c r="AR55" s="338"/>
      <c r="AS55" s="338"/>
      <c r="AT55" s="338"/>
      <c r="AU55" s="338"/>
      <c r="AV55" s="338"/>
      <c r="AW55" s="338"/>
      <c r="AX55" s="338"/>
      <c r="AY55" s="338"/>
      <c r="AZ55" s="338"/>
      <c r="BA55" s="338"/>
      <c r="BB55" s="338"/>
      <c r="BC55" s="338"/>
      <c r="BD55" s="338"/>
      <c r="BE55" s="338"/>
      <c r="BF55" s="338"/>
      <c r="BG55" s="338"/>
      <c r="BH55" s="338"/>
      <c r="BJ55" s="280">
        <f t="shared" si="0"/>
        <v>52</v>
      </c>
      <c r="BK55" s="71">
        <f>'注音符號、電腦鍵盤與音標編碼'!C56</f>
        <v>7</v>
      </c>
      <c r="BL55" s="32" t="str">
        <f>'注音符號、電腦鍵盤與音標編碼'!D56</f>
        <v>ˊ</v>
      </c>
      <c r="BM55" s="178" t="str">
        <f>'注音符號、電腦鍵盤與音標編碼'!E56</f>
        <v>˙</v>
      </c>
      <c r="BN55" s="34">
        <f>'注音符號、電腦鍵盤與音標編碼'!F56</f>
        <v>0</v>
      </c>
      <c r="BO55" s="107">
        <f>'注音符號、電腦鍵盤與音標編碼'!G56</f>
        <v>0</v>
      </c>
      <c r="BP55" s="107"/>
      <c r="BR55" s="281" t="str">
        <f t="shared" si="1"/>
        <v>"7": { commit: "ˊ" }</v>
      </c>
      <c r="BT55" s="237">
        <f t="shared" si="9"/>
        <v>51</v>
      </c>
      <c r="BU55" s="238" t="str">
        <f t="shared" si="3"/>
        <v>- xform/0/7/</v>
      </c>
      <c r="BW55" s="238" t="str">
        <f t="shared" si="4"/>
        <v>- xform/7/ˊ/</v>
      </c>
    </row>
    <row r="56" spans="2:75" ht="45" customHeight="1">
      <c r="B56" s="338"/>
      <c r="C56" s="338"/>
      <c r="D56" s="338"/>
      <c r="E56" s="338"/>
      <c r="F56" s="338"/>
      <c r="G56" s="338"/>
      <c r="H56" s="338"/>
      <c r="I56" s="338"/>
      <c r="J56" s="338"/>
      <c r="K56" s="338"/>
      <c r="L56" s="338"/>
      <c r="M56" s="338"/>
      <c r="N56" s="338"/>
      <c r="O56" s="338"/>
      <c r="P56" s="338"/>
      <c r="Q56" s="338"/>
      <c r="R56" s="338"/>
      <c r="S56" s="338"/>
      <c r="T56" s="338"/>
      <c r="U56" s="338"/>
      <c r="V56" s="338"/>
      <c r="W56" s="338"/>
      <c r="X56" s="338"/>
      <c r="Y56" s="338"/>
      <c r="Z56" s="338"/>
      <c r="AA56" s="338"/>
      <c r="AB56" s="338"/>
      <c r="AC56" s="338"/>
      <c r="AD56" s="338"/>
      <c r="AE56" s="338"/>
      <c r="AF56" s="338"/>
      <c r="AG56" s="338"/>
      <c r="AH56" s="338"/>
      <c r="AI56" s="338"/>
      <c r="AJ56" s="338"/>
      <c r="AK56" s="338"/>
      <c r="AL56" s="338"/>
      <c r="AM56" s="338"/>
      <c r="AN56" s="338"/>
      <c r="AO56" s="338"/>
      <c r="AP56" s="338"/>
      <c r="AQ56" s="338"/>
      <c r="AR56" s="338"/>
      <c r="AS56" s="338"/>
      <c r="AT56" s="338"/>
      <c r="AU56" s="338"/>
      <c r="AV56" s="338"/>
      <c r="AW56" s="338"/>
      <c r="AX56" s="338"/>
      <c r="AY56" s="338"/>
      <c r="AZ56" s="338"/>
      <c r="BA56" s="338"/>
      <c r="BB56" s="338"/>
      <c r="BC56" s="338"/>
      <c r="BD56" s="338"/>
      <c r="BE56" s="338"/>
      <c r="BF56" s="338"/>
      <c r="BG56" s="338"/>
      <c r="BH56" s="338"/>
      <c r="BJ56" s="280">
        <f t="shared" si="0"/>
        <v>53</v>
      </c>
      <c r="BK56" s="71">
        <f>'注音符號、電腦鍵盤與音標編碼'!C57</f>
        <v>0</v>
      </c>
      <c r="BL56" s="32">
        <f>'注音符號、電腦鍵盤與音標編碼'!D57</f>
        <v>0</v>
      </c>
      <c r="BM56" s="178">
        <f>'注音符號、電腦鍵盤與音標編碼'!E57</f>
        <v>0</v>
      </c>
      <c r="BN56" s="34">
        <f>'注音符號、電腦鍵盤與音標編碼'!F57</f>
        <v>0</v>
      </c>
      <c r="BO56" s="107">
        <f>'注音符號、電腦鍵盤與音標編碼'!G57</f>
        <v>0</v>
      </c>
      <c r="BT56" s="237">
        <f t="shared" si="9"/>
        <v>52</v>
      </c>
    </row>
    <row r="57" spans="2:75" ht="45" customHeight="1">
      <c r="B57" s="338"/>
      <c r="C57" s="338"/>
      <c r="D57" s="338"/>
      <c r="E57" s="338"/>
      <c r="F57" s="338"/>
      <c r="G57" s="338"/>
      <c r="H57" s="338"/>
      <c r="I57" s="338"/>
      <c r="J57" s="338"/>
      <c r="K57" s="338"/>
      <c r="L57" s="338"/>
      <c r="M57" s="338"/>
      <c r="N57" s="338"/>
      <c r="O57" s="338"/>
      <c r="P57" s="338"/>
      <c r="Q57" s="338"/>
      <c r="R57" s="338"/>
      <c r="S57" s="338"/>
      <c r="T57" s="338"/>
      <c r="U57" s="338"/>
      <c r="V57" s="338"/>
      <c r="W57" s="338"/>
      <c r="X57" s="338"/>
      <c r="Y57" s="338"/>
      <c r="Z57" s="338"/>
      <c r="AA57" s="338"/>
      <c r="AB57" s="338"/>
      <c r="AC57" s="338"/>
      <c r="AD57" s="338"/>
      <c r="AE57" s="338"/>
      <c r="AF57" s="338"/>
      <c r="AG57" s="338"/>
      <c r="AH57" s="338"/>
      <c r="AI57" s="338"/>
      <c r="AJ57" s="338"/>
      <c r="AK57" s="338"/>
      <c r="AL57" s="338"/>
      <c r="AM57" s="338"/>
      <c r="AN57" s="338"/>
      <c r="AO57" s="338"/>
      <c r="AP57" s="338"/>
      <c r="AQ57" s="338"/>
      <c r="AR57" s="338"/>
      <c r="AS57" s="338"/>
      <c r="AT57" s="338"/>
      <c r="AU57" s="338"/>
      <c r="AV57" s="338"/>
      <c r="AW57" s="338"/>
      <c r="AX57" s="338"/>
      <c r="AY57" s="338"/>
      <c r="AZ57" s="338"/>
      <c r="BA57" s="338"/>
      <c r="BB57" s="338"/>
      <c r="BC57" s="338"/>
      <c r="BD57" s="338"/>
      <c r="BE57" s="338"/>
      <c r="BF57" s="338"/>
      <c r="BG57" s="338"/>
      <c r="BH57" s="338"/>
      <c r="BJ57" s="280">
        <f t="shared" si="0"/>
        <v>54</v>
      </c>
      <c r="BT57" s="237">
        <f t="shared" si="9"/>
        <v>53</v>
      </c>
    </row>
    <row r="58" spans="2:75" ht="45" customHeight="1">
      <c r="B58" s="338"/>
      <c r="C58" s="338"/>
      <c r="D58" s="338"/>
      <c r="E58" s="338"/>
      <c r="F58" s="338"/>
      <c r="G58" s="338"/>
      <c r="H58" s="338"/>
      <c r="I58" s="338"/>
      <c r="J58" s="338"/>
      <c r="K58" s="338"/>
      <c r="L58" s="338"/>
      <c r="M58" s="338"/>
      <c r="N58" s="338"/>
      <c r="O58" s="338"/>
      <c r="P58" s="338"/>
      <c r="Q58" s="338"/>
      <c r="R58" s="338"/>
      <c r="S58" s="338"/>
      <c r="T58" s="338"/>
      <c r="U58" s="338"/>
      <c r="V58" s="338"/>
      <c r="W58" s="338"/>
      <c r="X58" s="338"/>
      <c r="Y58" s="338"/>
      <c r="Z58" s="338"/>
      <c r="AA58" s="338"/>
      <c r="AB58" s="338"/>
      <c r="AC58" s="338"/>
      <c r="AD58" s="338"/>
      <c r="AE58" s="338"/>
      <c r="AF58" s="338"/>
      <c r="AG58" s="338"/>
      <c r="AH58" s="338"/>
      <c r="AI58" s="338"/>
      <c r="AJ58" s="338"/>
      <c r="AK58" s="338"/>
      <c r="AL58" s="338"/>
      <c r="AM58" s="338"/>
      <c r="AN58" s="338"/>
      <c r="AO58" s="338"/>
      <c r="AP58" s="338"/>
      <c r="AQ58" s="338"/>
      <c r="AR58" s="338"/>
      <c r="AS58" s="338"/>
      <c r="AT58" s="338"/>
      <c r="AU58" s="338"/>
      <c r="AV58" s="338"/>
      <c r="AW58" s="338"/>
      <c r="AX58" s="338"/>
      <c r="AY58" s="338"/>
      <c r="AZ58" s="338"/>
      <c r="BA58" s="338"/>
      <c r="BB58" s="338"/>
      <c r="BC58" s="338"/>
      <c r="BD58" s="338"/>
      <c r="BE58" s="338"/>
      <c r="BF58" s="338"/>
      <c r="BG58" s="338"/>
      <c r="BH58" s="338"/>
      <c r="BJ58" s="280">
        <f t="shared" si="0"/>
        <v>55</v>
      </c>
      <c r="BT58" s="237">
        <f t="shared" si="9"/>
        <v>54</v>
      </c>
    </row>
    <row r="59" spans="2:75" ht="45" customHeight="1">
      <c r="B59" s="338"/>
      <c r="C59" s="338"/>
      <c r="D59" s="338"/>
      <c r="E59" s="338"/>
      <c r="F59" s="338"/>
      <c r="G59" s="338"/>
      <c r="H59" s="338"/>
      <c r="I59" s="338"/>
      <c r="J59" s="338"/>
      <c r="K59" s="338"/>
      <c r="L59" s="338"/>
      <c r="M59" s="338"/>
      <c r="N59" s="338"/>
      <c r="O59" s="338"/>
      <c r="P59" s="338"/>
      <c r="Q59" s="338"/>
      <c r="R59" s="338"/>
      <c r="S59" s="338"/>
      <c r="T59" s="338"/>
      <c r="U59" s="338"/>
      <c r="V59" s="338"/>
      <c r="W59" s="338"/>
      <c r="X59" s="338"/>
      <c r="Y59" s="338"/>
      <c r="Z59" s="338"/>
      <c r="AA59" s="338"/>
      <c r="AB59" s="338"/>
      <c r="AC59" s="338"/>
      <c r="AD59" s="338"/>
      <c r="AE59" s="338"/>
      <c r="AF59" s="338"/>
      <c r="AG59" s="338"/>
      <c r="AH59" s="338"/>
      <c r="AI59" s="338"/>
      <c r="AJ59" s="338"/>
      <c r="AK59" s="338"/>
      <c r="AL59" s="338"/>
      <c r="AM59" s="338"/>
      <c r="AN59" s="338"/>
      <c r="AO59" s="338"/>
      <c r="AP59" s="338"/>
      <c r="AQ59" s="338"/>
      <c r="AR59" s="338"/>
      <c r="AS59" s="338"/>
      <c r="AT59" s="338"/>
      <c r="AU59" s="338"/>
      <c r="AV59" s="338"/>
      <c r="AW59" s="338"/>
      <c r="AX59" s="338"/>
      <c r="AY59" s="338"/>
      <c r="AZ59" s="338"/>
      <c r="BA59" s="338"/>
      <c r="BB59" s="338"/>
      <c r="BC59" s="338"/>
      <c r="BD59" s="338"/>
      <c r="BE59" s="338"/>
      <c r="BF59" s="338"/>
      <c r="BG59" s="338"/>
      <c r="BH59" s="338"/>
      <c r="BJ59" s="280">
        <f t="shared" si="0"/>
        <v>56</v>
      </c>
      <c r="BT59" s="237">
        <f t="shared" si="9"/>
        <v>55</v>
      </c>
    </row>
    <row r="60" spans="2:75" ht="45" customHeight="1">
      <c r="B60" s="338"/>
      <c r="C60" s="338"/>
      <c r="D60" s="338"/>
      <c r="E60" s="338"/>
      <c r="F60" s="338"/>
      <c r="G60" s="338"/>
      <c r="H60" s="338"/>
      <c r="I60" s="338"/>
      <c r="J60" s="338"/>
      <c r="K60" s="338"/>
      <c r="L60" s="338"/>
      <c r="M60" s="338"/>
      <c r="N60" s="338"/>
      <c r="O60" s="338"/>
      <c r="P60" s="338"/>
      <c r="Q60" s="338"/>
      <c r="R60" s="338"/>
      <c r="S60" s="338"/>
      <c r="T60" s="338"/>
      <c r="U60" s="338"/>
      <c r="V60" s="338"/>
      <c r="W60" s="338"/>
      <c r="X60" s="338"/>
      <c r="Y60" s="338"/>
      <c r="Z60" s="338"/>
      <c r="AA60" s="338"/>
      <c r="AB60" s="338"/>
      <c r="AC60" s="338"/>
      <c r="AD60" s="338"/>
      <c r="AE60" s="338"/>
      <c r="AF60" s="338"/>
      <c r="AG60" s="338"/>
      <c r="AH60" s="338"/>
      <c r="AI60" s="338"/>
      <c r="AJ60" s="338"/>
      <c r="AK60" s="338"/>
      <c r="AL60" s="338"/>
      <c r="AM60" s="338"/>
      <c r="AN60" s="338"/>
      <c r="AO60" s="338"/>
      <c r="AP60" s="338"/>
      <c r="AQ60" s="338"/>
      <c r="AR60" s="338"/>
      <c r="AS60" s="338"/>
      <c r="AT60" s="338"/>
      <c r="AU60" s="338"/>
      <c r="AV60" s="338"/>
      <c r="AW60" s="338"/>
      <c r="AX60" s="338"/>
      <c r="AY60" s="338"/>
      <c r="AZ60" s="338"/>
      <c r="BA60" s="338"/>
      <c r="BB60" s="338"/>
      <c r="BC60" s="338"/>
      <c r="BD60" s="338"/>
      <c r="BE60" s="338"/>
      <c r="BF60" s="338"/>
      <c r="BG60" s="338"/>
      <c r="BH60" s="338"/>
      <c r="BJ60" s="280">
        <f t="shared" si="0"/>
        <v>57</v>
      </c>
      <c r="BT60" s="237">
        <f t="shared" si="9"/>
        <v>56</v>
      </c>
    </row>
    <row r="61" spans="2:75" ht="45" customHeight="1">
      <c r="B61" s="338"/>
      <c r="C61" s="338"/>
      <c r="D61" s="338"/>
      <c r="E61" s="338"/>
      <c r="F61" s="338"/>
      <c r="G61" s="338"/>
      <c r="H61" s="338"/>
      <c r="I61" s="338"/>
      <c r="J61" s="338"/>
      <c r="K61" s="338"/>
      <c r="L61" s="338"/>
      <c r="M61" s="338"/>
      <c r="N61" s="338"/>
      <c r="O61" s="338"/>
      <c r="P61" s="338"/>
      <c r="Q61" s="338"/>
      <c r="R61" s="338"/>
      <c r="S61" s="338"/>
      <c r="T61" s="338"/>
      <c r="U61" s="338"/>
      <c r="V61" s="338"/>
      <c r="W61" s="338"/>
      <c r="X61" s="338"/>
      <c r="Y61" s="338"/>
      <c r="Z61" s="338"/>
      <c r="AA61" s="338"/>
      <c r="AB61" s="338"/>
      <c r="AC61" s="338"/>
      <c r="AD61" s="338"/>
      <c r="AE61" s="338"/>
      <c r="AF61" s="338"/>
      <c r="AG61" s="338"/>
      <c r="AH61" s="338"/>
      <c r="AI61" s="338"/>
      <c r="AJ61" s="338"/>
      <c r="AK61" s="338"/>
      <c r="AL61" s="338"/>
      <c r="AM61" s="338"/>
      <c r="AN61" s="338"/>
      <c r="AO61" s="338"/>
      <c r="AP61" s="338"/>
      <c r="AQ61" s="338"/>
      <c r="AR61" s="338"/>
      <c r="AS61" s="338"/>
      <c r="AT61" s="338"/>
      <c r="AU61" s="338"/>
      <c r="AV61" s="338"/>
      <c r="AW61" s="338"/>
      <c r="AX61" s="338"/>
      <c r="AY61" s="338"/>
      <c r="AZ61" s="338"/>
      <c r="BA61" s="338"/>
      <c r="BB61" s="338"/>
      <c r="BC61" s="338"/>
      <c r="BD61" s="338"/>
      <c r="BE61" s="338"/>
      <c r="BF61" s="338"/>
      <c r="BG61" s="338"/>
      <c r="BH61" s="338"/>
      <c r="BJ61" s="280">
        <f t="shared" si="0"/>
        <v>58</v>
      </c>
      <c r="BT61" s="237">
        <f t="shared" si="9"/>
        <v>57</v>
      </c>
    </row>
    <row r="62" spans="2:75" ht="45" customHeight="1">
      <c r="B62" s="338"/>
      <c r="C62" s="338"/>
      <c r="D62" s="338"/>
      <c r="E62" s="338"/>
      <c r="F62" s="338"/>
      <c r="G62" s="338"/>
      <c r="H62" s="338"/>
      <c r="I62" s="338"/>
      <c r="J62" s="338"/>
      <c r="K62" s="338"/>
      <c r="L62" s="338"/>
      <c r="M62" s="338"/>
      <c r="N62" s="338"/>
      <c r="O62" s="338"/>
      <c r="P62" s="338"/>
      <c r="Q62" s="338"/>
      <c r="R62" s="338"/>
      <c r="S62" s="338"/>
      <c r="T62" s="338"/>
      <c r="U62" s="338"/>
      <c r="V62" s="338"/>
      <c r="W62" s="338"/>
      <c r="X62" s="338"/>
      <c r="Y62" s="338"/>
      <c r="Z62" s="338"/>
      <c r="AA62" s="338"/>
      <c r="AB62" s="338"/>
      <c r="AC62" s="338"/>
      <c r="AD62" s="338"/>
      <c r="AE62" s="338"/>
      <c r="AF62" s="338"/>
      <c r="AG62" s="338"/>
      <c r="AH62" s="338"/>
      <c r="AI62" s="338"/>
      <c r="AJ62" s="338"/>
      <c r="AK62" s="338"/>
      <c r="AL62" s="338"/>
      <c r="AM62" s="338"/>
      <c r="AN62" s="338"/>
      <c r="AO62" s="338"/>
      <c r="AP62" s="338"/>
      <c r="AQ62" s="338"/>
      <c r="AR62" s="338"/>
      <c r="AS62" s="338"/>
      <c r="AT62" s="338"/>
      <c r="AU62" s="338"/>
      <c r="AV62" s="338"/>
      <c r="AW62" s="338"/>
      <c r="AX62" s="338"/>
      <c r="AY62" s="338"/>
      <c r="AZ62" s="338"/>
      <c r="BA62" s="338"/>
      <c r="BB62" s="338"/>
      <c r="BC62" s="338"/>
      <c r="BD62" s="338"/>
      <c r="BE62" s="338"/>
      <c r="BF62" s="338"/>
      <c r="BG62" s="338"/>
      <c r="BH62" s="338"/>
      <c r="BJ62" s="280">
        <f t="shared" si="0"/>
        <v>59</v>
      </c>
      <c r="BT62" s="237">
        <f t="shared" si="9"/>
        <v>58</v>
      </c>
    </row>
    <row r="63" spans="2:75" ht="38.1" customHeight="1">
      <c r="B63" s="338"/>
      <c r="C63" s="338"/>
      <c r="D63" s="338"/>
      <c r="E63" s="338"/>
      <c r="F63" s="338"/>
      <c r="G63" s="338"/>
      <c r="H63" s="338"/>
      <c r="I63" s="338"/>
      <c r="J63" s="338"/>
      <c r="K63" s="338"/>
      <c r="L63" s="338"/>
      <c r="M63" s="338"/>
      <c r="N63" s="338"/>
      <c r="O63" s="338"/>
      <c r="P63" s="338"/>
      <c r="Q63" s="338"/>
      <c r="R63" s="338"/>
      <c r="S63" s="338"/>
      <c r="T63" s="338"/>
      <c r="U63" s="338"/>
      <c r="V63" s="338"/>
      <c r="W63" s="338"/>
      <c r="X63" s="338"/>
      <c r="Y63" s="338"/>
      <c r="Z63" s="338"/>
      <c r="AA63" s="338"/>
      <c r="AB63" s="338"/>
      <c r="AC63" s="338"/>
      <c r="AD63" s="338"/>
      <c r="AE63" s="338"/>
      <c r="AF63" s="338"/>
      <c r="AG63" s="338"/>
      <c r="AH63" s="338"/>
      <c r="AI63" s="338"/>
      <c r="AJ63" s="338"/>
      <c r="AK63" s="338"/>
      <c r="AL63" s="338"/>
      <c r="AM63" s="338"/>
      <c r="AN63" s="338"/>
      <c r="AO63" s="338"/>
      <c r="AP63" s="338"/>
      <c r="AQ63" s="338"/>
      <c r="AR63" s="338"/>
      <c r="AS63" s="338"/>
      <c r="AT63" s="338"/>
      <c r="AU63" s="338"/>
      <c r="AV63" s="338"/>
      <c r="AW63" s="338"/>
      <c r="AX63" s="338"/>
      <c r="AY63" s="338"/>
      <c r="AZ63" s="338"/>
      <c r="BA63" s="338"/>
      <c r="BB63" s="338"/>
      <c r="BC63" s="338"/>
      <c r="BD63" s="338"/>
      <c r="BE63" s="338"/>
      <c r="BF63" s="338"/>
      <c r="BG63" s="338"/>
      <c r="BH63" s="338"/>
      <c r="BT63" s="237">
        <f t="shared" si="9"/>
        <v>59</v>
      </c>
    </row>
    <row r="64" spans="2:75" ht="38.1" customHeight="1">
      <c r="B64" s="338"/>
      <c r="C64" s="338"/>
      <c r="D64" s="338"/>
      <c r="E64" s="338"/>
      <c r="F64" s="338"/>
      <c r="G64" s="338"/>
      <c r="H64" s="338"/>
      <c r="I64" s="338"/>
      <c r="J64" s="338"/>
      <c r="K64" s="338"/>
      <c r="L64" s="338"/>
      <c r="M64" s="338"/>
      <c r="N64" s="338"/>
      <c r="O64" s="338"/>
      <c r="P64" s="338"/>
      <c r="Q64" s="338"/>
      <c r="R64" s="338"/>
      <c r="S64" s="338"/>
      <c r="T64" s="338"/>
      <c r="U64" s="338"/>
      <c r="V64" s="338"/>
      <c r="W64" s="338"/>
      <c r="X64" s="338"/>
      <c r="Y64" s="338"/>
      <c r="Z64" s="338"/>
      <c r="AA64" s="338"/>
      <c r="AB64" s="338"/>
      <c r="AC64" s="338"/>
      <c r="AD64" s="338"/>
      <c r="AE64" s="338"/>
      <c r="AF64" s="338"/>
      <c r="AG64" s="338"/>
      <c r="AH64" s="338"/>
      <c r="AI64" s="338"/>
      <c r="AJ64" s="338"/>
      <c r="AK64" s="338"/>
      <c r="AL64" s="338"/>
      <c r="AM64" s="338"/>
      <c r="AN64" s="338"/>
      <c r="AO64" s="338"/>
      <c r="AP64" s="338"/>
      <c r="AQ64" s="338"/>
      <c r="AR64" s="338"/>
      <c r="AS64" s="338"/>
      <c r="AT64" s="338"/>
      <c r="AU64" s="338"/>
      <c r="AV64" s="338"/>
      <c r="AW64" s="338"/>
      <c r="AX64" s="338"/>
      <c r="AY64" s="338"/>
      <c r="AZ64" s="338"/>
      <c r="BA64" s="338"/>
      <c r="BB64" s="338"/>
      <c r="BC64" s="338"/>
      <c r="BD64" s="338"/>
      <c r="BE64" s="338"/>
      <c r="BF64" s="338"/>
      <c r="BG64" s="338"/>
      <c r="BH64" s="338"/>
    </row>
    <row r="65" spans="2:60">
      <c r="B65" s="338"/>
      <c r="C65" s="338"/>
      <c r="D65" s="338"/>
      <c r="E65" s="338"/>
      <c r="F65" s="338"/>
      <c r="G65" s="338"/>
      <c r="H65" s="338"/>
      <c r="I65" s="338"/>
      <c r="J65" s="338"/>
      <c r="K65" s="338"/>
      <c r="L65" s="338"/>
      <c r="M65" s="338"/>
      <c r="N65" s="338"/>
      <c r="O65" s="338"/>
      <c r="P65" s="338"/>
      <c r="Q65" s="338"/>
      <c r="R65" s="338"/>
      <c r="S65" s="338"/>
      <c r="T65" s="338"/>
      <c r="U65" s="338"/>
      <c r="V65" s="338"/>
      <c r="W65" s="338"/>
      <c r="X65" s="338"/>
      <c r="Y65" s="338"/>
      <c r="Z65" s="338"/>
      <c r="AA65" s="338"/>
      <c r="AB65" s="338"/>
      <c r="AC65" s="338"/>
      <c r="AD65" s="338"/>
      <c r="AE65" s="338"/>
      <c r="AF65" s="338"/>
      <c r="AG65" s="338"/>
      <c r="AH65" s="338"/>
      <c r="AI65" s="338"/>
      <c r="AJ65" s="338"/>
      <c r="AK65" s="338"/>
      <c r="AL65" s="338"/>
      <c r="AM65" s="338"/>
      <c r="AN65" s="338"/>
      <c r="AO65" s="338"/>
      <c r="AP65" s="338"/>
      <c r="AQ65" s="338"/>
      <c r="AR65" s="338"/>
      <c r="AS65" s="338"/>
      <c r="AT65" s="338"/>
      <c r="AU65" s="338"/>
      <c r="AV65" s="338"/>
      <c r="AW65" s="338"/>
      <c r="AX65" s="338"/>
      <c r="AY65" s="338"/>
      <c r="AZ65" s="338"/>
      <c r="BA65" s="338"/>
      <c r="BB65" s="338"/>
      <c r="BD65" s="338"/>
      <c r="BE65" s="338"/>
      <c r="BF65" s="338"/>
      <c r="BG65" s="338"/>
      <c r="BH65" s="338"/>
    </row>
    <row r="66" spans="2:60">
      <c r="AH66" s="338"/>
      <c r="AI66" s="338"/>
      <c r="AJ66" s="338"/>
      <c r="BD66" s="338"/>
      <c r="BE66" s="338"/>
      <c r="BF66" s="338"/>
      <c r="BG66" s="338"/>
      <c r="BH66" s="338"/>
    </row>
    <row r="67" spans="2:60">
      <c r="AH67" s="338"/>
      <c r="AI67" s="338"/>
      <c r="AJ67" s="338"/>
      <c r="BD67" s="338"/>
      <c r="BE67" s="338"/>
      <c r="BF67" s="338"/>
      <c r="BG67" s="338"/>
      <c r="BH67" s="338"/>
    </row>
    <row r="68" spans="2:60">
      <c r="AH68" s="338"/>
      <c r="AI68" s="338"/>
      <c r="AJ68" s="338"/>
      <c r="BD68" s="338"/>
      <c r="BE68" s="338"/>
      <c r="BF68" s="338"/>
    </row>
    <row r="69" spans="2:60">
      <c r="AH69" s="338"/>
      <c r="AI69" s="338"/>
      <c r="AJ69" s="338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5B75-B358-4C95-B0C2-96EE4C4358A0}">
  <dimension ref="A1:AV76"/>
  <sheetViews>
    <sheetView topLeftCell="A13" workbookViewId="0">
      <selection activeCell="D20" sqref="D20"/>
    </sheetView>
  </sheetViews>
  <sheetFormatPr defaultColWidth="10.8984375" defaultRowHeight="32.25" outlineLevelCol="1"/>
  <cols>
    <col min="1" max="1" width="3.69921875" style="138" customWidth="1"/>
    <col min="2" max="2" width="5.59765625" style="138" customWidth="1"/>
    <col min="3" max="3" width="11.19921875" style="139" customWidth="1"/>
    <col min="4" max="5" width="11.19921875" style="8" customWidth="1"/>
    <col min="6" max="6" width="11.19921875" style="139" customWidth="1"/>
    <col min="7" max="7" width="11.19921875" style="140" customWidth="1"/>
    <col min="8" max="8" width="15.8984375" style="139" customWidth="1"/>
    <col min="9" max="9" width="12" style="139" bestFit="1" customWidth="1"/>
    <col min="10" max="10" width="11.19921875" style="139" customWidth="1"/>
    <col min="11" max="11" width="25" style="139" bestFit="1" customWidth="1"/>
    <col min="12" max="13" width="17.3984375" style="141" customWidth="1"/>
    <col min="14" max="14" width="42.19921875" style="141" bestFit="1" customWidth="1"/>
    <col min="15" max="15" width="11.19921875" style="138" customWidth="1"/>
    <col min="16" max="16" width="5.59765625" style="138" customWidth="1"/>
    <col min="17" max="17" width="10.59765625" style="139" customWidth="1"/>
    <col min="18" max="18" width="10.59765625" style="8" customWidth="1"/>
    <col min="19" max="19" width="10.59765625" style="140" customWidth="1"/>
    <col min="20" max="20" width="10.59765625" style="139" customWidth="1"/>
    <col min="21" max="21" width="4.09765625" style="138" customWidth="1"/>
    <col min="22" max="22" width="5.59765625" style="138" customWidth="1"/>
    <col min="23" max="23" width="10.59765625" style="139" customWidth="1"/>
    <col min="24" max="24" width="10.59765625" style="8" customWidth="1"/>
    <col min="25" max="25" width="10.59765625" style="140" customWidth="1"/>
    <col min="26" max="26" width="10.59765625" style="139" customWidth="1"/>
    <col min="27" max="27" width="4.09765625" style="138" customWidth="1"/>
    <col min="28" max="28" width="5.59765625" style="138" customWidth="1"/>
    <col min="29" max="32" width="10.8984375" style="138"/>
    <col min="33" max="34" width="5.69921875" style="138" customWidth="1"/>
    <col min="35" max="35" width="5.69921875" style="148" customWidth="1"/>
    <col min="36" max="38" width="5.69921875" style="138" customWidth="1"/>
    <col min="39" max="42" width="10.8984375" style="138"/>
    <col min="43" max="47" width="10.8984375" style="145" outlineLevel="1"/>
    <col min="48" max="48" width="10.8984375" style="145"/>
    <col min="49" max="16384" width="10.8984375" style="138"/>
  </cols>
  <sheetData>
    <row r="1" spans="2:48">
      <c r="AI1" s="142" t="s">
        <v>378</v>
      </c>
      <c r="AJ1" s="143" t="str">
        <f xml:space="preserve"> _xlfn.CONCAT("'", AC5:AC49, "'")</f>
        <v>' 34567'</v>
      </c>
      <c r="AK1" s="144"/>
      <c r="AL1" s="144"/>
      <c r="AM1" s="144"/>
      <c r="AN1" s="144"/>
      <c r="AO1" s="138">
        <f xml:space="preserve"> LEN(AJ1)-2</f>
        <v>6</v>
      </c>
    </row>
    <row r="2" spans="2:48">
      <c r="B2" s="146" t="s">
        <v>379</v>
      </c>
      <c r="I2" s="139" t="str">
        <f xml:space="preserve"> "- xlit|" &amp; I3 &amp; "|" &amp; J3 &amp; "|"</f>
        <v>- xlit| |1!qa2wsxeEd?yhnbYHNBcuUjJ8*,&lt;iIk09(lLOA:;o/mp 43657|</v>
      </c>
      <c r="P2" s="146" t="s">
        <v>19</v>
      </c>
      <c r="V2" s="146" t="s">
        <v>380</v>
      </c>
      <c r="AB2" s="146" t="s">
        <v>381</v>
      </c>
      <c r="AI2" s="142" t="s">
        <v>382</v>
      </c>
      <c r="AJ2" s="143" t="str">
        <f xml:space="preserve"> _xlfn.CONCAT("'", AC5:AC43, "'")</f>
        <v>''</v>
      </c>
      <c r="AK2" s="144"/>
      <c r="AL2" s="144"/>
      <c r="AM2" s="144"/>
      <c r="AN2" s="144"/>
      <c r="AQ2" s="147"/>
      <c r="AR2" s="147"/>
      <c r="AS2" s="147"/>
      <c r="AT2" s="147"/>
      <c r="AU2" s="147"/>
      <c r="AV2" s="147"/>
    </row>
    <row r="3" spans="2:48">
      <c r="I3" s="139" t="s">
        <v>364</v>
      </c>
      <c r="J3" s="139" t="str">
        <f xml:space="preserve"> _xlfn.CONCAT(J5:J56)</f>
        <v>1!qa2wsxeEd?yhnbYHNBcuUjJ8*,&lt;iIk09(lLOA:;o/mp 43657</v>
      </c>
      <c r="AQ3" s="147"/>
      <c r="AR3" s="147"/>
      <c r="AS3" s="36" t="s">
        <v>13</v>
      </c>
      <c r="AT3" s="36" t="s">
        <v>383</v>
      </c>
      <c r="AU3" s="53" t="s">
        <v>384</v>
      </c>
      <c r="AV3" s="147"/>
    </row>
    <row r="4" spans="2:48" s="127" customFormat="1" ht="30.75" thickBot="1">
      <c r="B4" s="149" t="s">
        <v>14</v>
      </c>
      <c r="C4" s="150" t="s">
        <v>342</v>
      </c>
      <c r="D4" s="151" t="s">
        <v>385</v>
      </c>
      <c r="E4" s="151" t="s">
        <v>386</v>
      </c>
      <c r="F4" s="152" t="s">
        <v>387</v>
      </c>
      <c r="G4" s="153" t="s">
        <v>388</v>
      </c>
      <c r="H4" s="154"/>
      <c r="I4" s="155" t="s">
        <v>387</v>
      </c>
      <c r="J4" s="156" t="s">
        <v>342</v>
      </c>
      <c r="K4" s="153"/>
      <c r="L4" s="157"/>
      <c r="M4" s="157"/>
      <c r="N4" s="157"/>
      <c r="P4" s="158" t="s">
        <v>14</v>
      </c>
      <c r="Q4" s="159" t="s">
        <v>342</v>
      </c>
      <c r="R4" s="160" t="s">
        <v>15</v>
      </c>
      <c r="S4" s="161" t="s">
        <v>388</v>
      </c>
      <c r="T4" s="155" t="s">
        <v>387</v>
      </c>
      <c r="V4" s="158" t="s">
        <v>14</v>
      </c>
      <c r="W4" s="159" t="s">
        <v>342</v>
      </c>
      <c r="X4" s="160" t="s">
        <v>15</v>
      </c>
      <c r="Y4" s="161" t="s">
        <v>388</v>
      </c>
      <c r="Z4" s="155" t="s">
        <v>387</v>
      </c>
      <c r="AB4" s="162" t="s">
        <v>14</v>
      </c>
      <c r="AC4" s="163" t="s">
        <v>342</v>
      </c>
      <c r="AD4" s="164" t="s">
        <v>15</v>
      </c>
      <c r="AE4" s="161" t="s">
        <v>388</v>
      </c>
      <c r="AF4" s="155" t="s">
        <v>387</v>
      </c>
      <c r="AI4" s="165"/>
      <c r="AQ4" s="145"/>
      <c r="AR4" s="166">
        <f t="shared" ref="AR4:AR46" si="0" xml:space="preserve"> ROW() - 3</f>
        <v>1</v>
      </c>
      <c r="AS4" s="167" t="s">
        <v>20</v>
      </c>
      <c r="AT4" s="168" t="s">
        <v>217</v>
      </c>
      <c r="AU4" s="169" t="s">
        <v>389</v>
      </c>
      <c r="AV4" s="145"/>
    </row>
    <row r="5" spans="2:48" ht="33" thickTop="1">
      <c r="B5" s="170">
        <f t="shared" ref="B5:B37" si="1" xml:space="preserve"> ROW() - 4</f>
        <v>1</v>
      </c>
      <c r="C5" s="109">
        <v>1</v>
      </c>
      <c r="D5" s="171" t="s">
        <v>20</v>
      </c>
      <c r="E5" s="26" t="s">
        <v>20</v>
      </c>
      <c r="F5" s="28" t="s">
        <v>217</v>
      </c>
      <c r="G5" s="108" t="s">
        <v>217</v>
      </c>
      <c r="H5" s="172"/>
      <c r="I5" s="34" t="str">
        <f>_xlfn.CONCAT(F5:F8)</f>
        <v>pbPm</v>
      </c>
      <c r="J5" s="71" t="str">
        <f xml:space="preserve"> _xlfn.CONCAT(C5:C8)</f>
        <v>1!qa</v>
      </c>
      <c r="K5" s="107" t="str">
        <f>"["""&amp;E5&amp;"""] = """&amp;G5&amp;""","</f>
        <v>["ㄅ"] = "p",</v>
      </c>
      <c r="L5" s="173"/>
      <c r="M5" s="173"/>
      <c r="N5" s="173"/>
      <c r="P5" s="87">
        <v>1</v>
      </c>
      <c r="Q5" s="109">
        <v>1</v>
      </c>
      <c r="R5" s="26" t="str" cm="1">
        <f t="array" ref="R5" xml:space="preserve"> IFERROR( INDEX($D$5:$D$65, MATCH(TRUE, EXACT($Q5, $C$5:$C$65),0)), "")</f>
        <v>ㄅ</v>
      </c>
      <c r="S5" s="108" t="str" cm="1">
        <f t="array" ref="S5" xml:space="preserve"> IFERROR( INDEX($G$9:$G$65, MATCH(TRUE, EXACT($Q5, $C$5:$C$65),0)), "")</f>
        <v>t</v>
      </c>
      <c r="T5" s="174" t="str" cm="1">
        <f t="array" ref="T5" xml:space="preserve"> IFERROR( INDEX($F$5:$F$65, MATCH(TRUE, EXACT($Q5, $C$5:$C$65),0)), "")</f>
        <v>p</v>
      </c>
      <c r="V5" s="87">
        <v>1</v>
      </c>
      <c r="W5" s="175" t="s">
        <v>390</v>
      </c>
      <c r="X5" s="26" t="str" cm="1">
        <f t="array" ref="X5" xml:space="preserve"> IFERROR( INDEX($D$5:$D$65, MATCH(TRUE, EXACT($W5, $C$5:$C$65),0)), "")</f>
        <v>ㄅㄏ</v>
      </c>
      <c r="Y5" s="108" t="str" cm="1">
        <f t="array" ref="Y5" xml:space="preserve"> IFERROR( INDEX($G$9:$G$65, MATCH(TRUE, EXACT($W5, $C$5:$C$65),0)), "")</f>
        <v>th</v>
      </c>
      <c r="Z5" s="174" t="str" cm="1">
        <f t="array" ref="Z5" xml:space="preserve"> IFERROR( INDEX($F$5:$F$65, MATCH(TRUE, EXACT($W5, $C$5:$C$65),0)), "")</f>
        <v>b</v>
      </c>
      <c r="AB5" s="98">
        <f xml:space="preserve"> ROW() - 4</f>
        <v>1</v>
      </c>
      <c r="AC5" s="71"/>
      <c r="AD5" s="32"/>
      <c r="AE5" s="107"/>
      <c r="AF5" s="34"/>
      <c r="AI5" s="142" t="s">
        <v>391</v>
      </c>
      <c r="AL5" s="176" t="str">
        <f xml:space="preserve"> "- 'xlit|" &amp; AI6 &amp; "|" &amp; AI7 &amp; "|'"</f>
        <v>- 'xlit|132750| 34567|'</v>
      </c>
      <c r="AQ5" s="147"/>
      <c r="AR5" s="166">
        <f t="shared" si="0"/>
        <v>2</v>
      </c>
      <c r="AS5" s="167" t="s">
        <v>27</v>
      </c>
      <c r="AT5" s="168" t="s">
        <v>392</v>
      </c>
      <c r="AU5" s="169" t="s">
        <v>393</v>
      </c>
      <c r="AV5" s="147"/>
    </row>
    <row r="6" spans="2:48">
      <c r="B6" s="177">
        <f t="shared" si="1"/>
        <v>2</v>
      </c>
      <c r="C6" s="71" t="s">
        <v>394</v>
      </c>
      <c r="D6" s="178" t="s">
        <v>395</v>
      </c>
      <c r="E6" s="32" t="s">
        <v>27</v>
      </c>
      <c r="F6" s="117" t="s">
        <v>190</v>
      </c>
      <c r="G6" s="107" t="s">
        <v>190</v>
      </c>
      <c r="H6" s="172"/>
      <c r="I6" s="117"/>
      <c r="J6" s="71"/>
      <c r="K6" s="107" t="str">
        <f t="shared" ref="K6:K56" si="2">"["""&amp;E6&amp;"""] = """&amp;G6&amp;""","</f>
        <v>["ㆠ"] = "b",</v>
      </c>
      <c r="L6" s="173"/>
      <c r="M6" s="173"/>
      <c r="N6" s="173"/>
      <c r="P6" s="77">
        <f>P5+1</f>
        <v>2</v>
      </c>
      <c r="Q6" s="71" t="s">
        <v>396</v>
      </c>
      <c r="R6" s="32" t="str" cm="1">
        <f t="array" ref="R6" xml:space="preserve"> IFERROR( INDEX($D$5:$D$65, MATCH(TRUE, EXACT($Q6, $C$5:$C$65),0)), "")</f>
        <v>ㄆ</v>
      </c>
      <c r="S6" s="107" t="str" cm="1">
        <f t="array" ref="S6" xml:space="preserve"> IFERROR( INDEX($G$9:$G$65, MATCH(TRUE, EXACT($Q6, $C$5:$C$65),0)), "")</f>
        <v>n</v>
      </c>
      <c r="T6" s="179" t="str" cm="1">
        <f t="array" ref="T6" xml:space="preserve"> IFERROR( INDEX($F$5:$F$65, MATCH(TRUE, EXACT($Q6, $C$5:$C$65),0)), "")</f>
        <v>P</v>
      </c>
      <c r="V6" s="77">
        <f>V5+1</f>
        <v>2</v>
      </c>
      <c r="W6" s="71" t="s">
        <v>397</v>
      </c>
      <c r="X6" s="32" t="str" cm="1">
        <f t="array" ref="X6" xml:space="preserve"> IFERROR( INDEX($D$5:$D$65, MATCH(TRUE, EXACT($W6, $C$5:$C$65),0)), "")</f>
        <v/>
      </c>
      <c r="Y6" s="107" t="str" cm="1">
        <f t="array" ref="Y6" xml:space="preserve"> IFERROR( INDEX($G$9:$G$65, MATCH(TRUE, EXACT($W6, $C$5:$C$65),0)), "")</f>
        <v/>
      </c>
      <c r="Z6" s="179" t="str" cm="1">
        <f t="array" ref="Z6" xml:space="preserve"> IFERROR( INDEX($F$5:$F$65, MATCH(TRUE, EXACT($W6, $C$5:$C$65),0)), "")</f>
        <v/>
      </c>
      <c r="AB6" s="98">
        <f t="shared" ref="AB6:AB49" si="3" xml:space="preserve"> ROW() - 4</f>
        <v>2</v>
      </c>
      <c r="AC6" s="71"/>
      <c r="AD6" s="32"/>
      <c r="AE6" s="107"/>
      <c r="AF6" s="34"/>
      <c r="AH6" s="180">
        <f xml:space="preserve"> LEN(AI6)</f>
        <v>6</v>
      </c>
      <c r="AI6" s="148" t="str">
        <f xml:space="preserve"> _xlfn.CONCAT($AF$5:$AF$49)</f>
        <v>132750</v>
      </c>
      <c r="AQ6" s="147"/>
      <c r="AR6" s="166">
        <f t="shared" si="0"/>
        <v>3</v>
      </c>
      <c r="AS6" s="167" t="s">
        <v>23</v>
      </c>
      <c r="AT6" s="168" t="s">
        <v>143</v>
      </c>
      <c r="AU6" s="169" t="s">
        <v>398</v>
      </c>
      <c r="AV6" s="147"/>
    </row>
    <row r="7" spans="2:48">
      <c r="B7" s="177">
        <f t="shared" si="1"/>
        <v>3</v>
      </c>
      <c r="C7" s="71" t="s">
        <v>353</v>
      </c>
      <c r="D7" s="178" t="str">
        <f>E7</f>
        <v>ㄆ</v>
      </c>
      <c r="E7" s="32" t="s">
        <v>399</v>
      </c>
      <c r="F7" s="34" t="s">
        <v>400</v>
      </c>
      <c r="G7" s="107" t="s">
        <v>392</v>
      </c>
      <c r="H7" s="172"/>
      <c r="I7" s="34"/>
      <c r="J7" s="71"/>
      <c r="K7" s="107" t="str">
        <f t="shared" si="2"/>
        <v>["ㄆ"] = "ph",</v>
      </c>
      <c r="L7" s="173"/>
      <c r="M7" s="173"/>
      <c r="N7" s="173"/>
      <c r="P7" s="77">
        <f t="shared" ref="P7:P8" si="4">P6+1</f>
        <v>3</v>
      </c>
      <c r="Q7" s="71" t="s">
        <v>59</v>
      </c>
      <c r="R7" s="32" t="str" cm="1">
        <f t="array" ref="R7" xml:space="preserve"> IFERROR( INDEX($D$5:$D$65, MATCH(TRUE, EXACT($Q7, $C$5:$C$65),0)), "")</f>
        <v>ㄇ</v>
      </c>
      <c r="S7" s="107" t="str" cm="1">
        <f t="array" ref="S7" xml:space="preserve"> IFERROR( INDEX($G$9:$G$65, MATCH(TRUE, EXACT($Q7, $C$5:$C$65),0)), "")</f>
        <v>l</v>
      </c>
      <c r="T7" s="181" t="str" cm="1">
        <f t="array" ref="T7" xml:space="preserve"> IFERROR( INDEX($F$5:$F$65, MATCH(TRUE, EXACT($Q7, $C$5:$C$65),0)), "")</f>
        <v>m</v>
      </c>
      <c r="V7" s="77">
        <f t="shared" ref="V7:V8" si="5">V6+1</f>
        <v>3</v>
      </c>
      <c r="W7" s="71" t="s">
        <v>401</v>
      </c>
      <c r="X7" s="32" t="str" cm="1">
        <f t="array" ref="X7" xml:space="preserve"> IFERROR( INDEX($D$5:$D$65, MATCH(TRUE, EXACT($W7, $C$5:$C$65),0)), "")</f>
        <v>ㄚㄇ</v>
      </c>
      <c r="Y7" s="107" t="str" cm="1">
        <f t="array" ref="Y7" xml:space="preserve"> IFERROR( INDEX($G$9:$G$65, MATCH(TRUE, EXACT($W7, $C$5:$C$65),0)), "")</f>
        <v>ng</v>
      </c>
      <c r="Z7" s="181" t="str" cm="1">
        <f t="array" ref="Z7" xml:space="preserve"> IFERROR( INDEX($F$5:$F$65, MATCH(TRUE, EXACT($W7, $C$5:$C$65),0)), "")</f>
        <v>{</v>
      </c>
      <c r="AB7" s="98">
        <f t="shared" si="3"/>
        <v>3</v>
      </c>
      <c r="AC7" s="71"/>
      <c r="AD7" s="32"/>
      <c r="AE7" s="107"/>
      <c r="AF7" s="117"/>
      <c r="AH7" s="180">
        <f xml:space="preserve"> LEN(AI7)</f>
        <v>6</v>
      </c>
      <c r="AI7" s="148" t="str">
        <f xml:space="preserve"> _xlfn.CONCAT($AC$5:$AC$49)</f>
        <v xml:space="preserve"> 34567</v>
      </c>
      <c r="AR7" s="166">
        <f t="shared" si="0"/>
        <v>4</v>
      </c>
      <c r="AS7" s="167" t="s">
        <v>83</v>
      </c>
      <c r="AT7" s="168" t="s">
        <v>190</v>
      </c>
      <c r="AU7" s="169" t="s">
        <v>402</v>
      </c>
    </row>
    <row r="8" spans="2:48">
      <c r="B8" s="182">
        <f t="shared" si="1"/>
        <v>4</v>
      </c>
      <c r="C8" s="73" t="s">
        <v>351</v>
      </c>
      <c r="D8" s="183" t="str">
        <f>E8</f>
        <v>ㄇ</v>
      </c>
      <c r="E8" s="42" t="s">
        <v>83</v>
      </c>
      <c r="F8" s="44" t="s">
        <v>143</v>
      </c>
      <c r="G8" s="184" t="s">
        <v>84</v>
      </c>
      <c r="H8" s="185"/>
      <c r="I8" s="34"/>
      <c r="J8" s="71"/>
      <c r="K8" s="107" t="str">
        <f t="shared" si="2"/>
        <v>["ㄇ"] = "m",</v>
      </c>
      <c r="L8" s="186"/>
      <c r="M8" s="186"/>
      <c r="N8" s="186"/>
      <c r="P8" s="78">
        <f t="shared" si="4"/>
        <v>4</v>
      </c>
      <c r="Q8" s="73" t="s">
        <v>366</v>
      </c>
      <c r="R8" s="42" t="str" cm="1">
        <f t="array" ref="R8" xml:space="preserve"> IFERROR( INDEX($D$5:$D$65, MATCH(TRUE, EXACT($Q8, $C$5:$C$65),0)), "")</f>
        <v/>
      </c>
      <c r="S8" s="105" t="str" cm="1">
        <f t="array" ref="S8" xml:space="preserve"> IFERROR( INDEX($G$9:$G$65, MATCH(TRUE, EXACT($Q8, $C$5:$C$65),0)), "")</f>
        <v/>
      </c>
      <c r="T8" s="187" t="str" cm="1">
        <f t="array" ref="T8" xml:space="preserve"> IFERROR( INDEX($F$5:$F$65, MATCH(TRUE, EXACT($Q8, $C$5:$C$65),0)), "")</f>
        <v/>
      </c>
      <c r="V8" s="78">
        <f t="shared" si="5"/>
        <v>4</v>
      </c>
      <c r="W8" s="73" t="s">
        <v>367</v>
      </c>
      <c r="X8" s="42" t="str" cm="1">
        <f t="array" ref="X8" xml:space="preserve"> IFERROR( INDEX($D$5:$D$65, MATCH(TRUE, EXACT($W8, $C$5:$C$65),0)), "")</f>
        <v/>
      </c>
      <c r="Y8" s="105" t="str" cm="1">
        <f t="array" ref="Y8" xml:space="preserve"> IFERROR( INDEX($G$9:$G$65, MATCH(TRUE, EXACT($W8, $C$5:$C$65),0)), "")</f>
        <v/>
      </c>
      <c r="Z8" s="187" t="str" cm="1">
        <f t="array" ref="Z8" xml:space="preserve"> IFERROR( INDEX($F$5:$F$65, MATCH(TRUE, EXACT($W8, $C$5:$C$65),0)), "")</f>
        <v/>
      </c>
      <c r="AB8" s="98">
        <f t="shared" si="3"/>
        <v>4</v>
      </c>
      <c r="AC8" s="71"/>
      <c r="AD8" s="32"/>
      <c r="AE8" s="107"/>
      <c r="AF8" s="34"/>
      <c r="AQ8" s="147"/>
      <c r="AR8" s="166">
        <f t="shared" si="0"/>
        <v>5</v>
      </c>
      <c r="AS8" s="167" t="s">
        <v>29</v>
      </c>
      <c r="AT8" s="168" t="s">
        <v>30</v>
      </c>
      <c r="AU8" s="169" t="s">
        <v>403</v>
      </c>
      <c r="AV8" s="147"/>
    </row>
    <row r="9" spans="2:48">
      <c r="B9" s="170">
        <f t="shared" si="1"/>
        <v>5</v>
      </c>
      <c r="C9" s="109">
        <v>2</v>
      </c>
      <c r="D9" s="26" t="s">
        <v>29</v>
      </c>
      <c r="E9" s="171" t="str">
        <f t="shared" ref="E9:E12" si="6">D9</f>
        <v>ㄉ</v>
      </c>
      <c r="F9" s="28" t="s">
        <v>30</v>
      </c>
      <c r="G9" s="108" t="s">
        <v>30</v>
      </c>
      <c r="H9" s="172"/>
      <c r="I9" s="28" t="str">
        <f>_xlfn.CONCAT(F9:F12)</f>
        <v>tTnl</v>
      </c>
      <c r="J9" s="109" t="str">
        <f xml:space="preserve"> _xlfn.CONCAT(C9:C12)</f>
        <v>2wsx</v>
      </c>
      <c r="K9" s="107" t="str">
        <f t="shared" si="2"/>
        <v>["ㄉ"] = "t",</v>
      </c>
      <c r="L9" s="173"/>
      <c r="M9" s="173"/>
      <c r="N9" s="173"/>
      <c r="P9" s="87">
        <f>P8+1</f>
        <v>5</v>
      </c>
      <c r="Q9" s="109">
        <v>2</v>
      </c>
      <c r="R9" s="26" t="str" cm="1">
        <f t="array" ref="R9" xml:space="preserve"> IFERROR( INDEX($D$5:$D$65, MATCH(TRUE, EXACT($Q9, $C$5:$C$65),0)), "")</f>
        <v>ㄉ</v>
      </c>
      <c r="S9" s="108" t="str" cm="1">
        <f t="array" ref="S9" xml:space="preserve"> IFERROR( INDEX($G$9:$G$65, MATCH(TRUE, EXACT($Q9, $C$5:$C$65),0)), "")</f>
        <v>k</v>
      </c>
      <c r="T9" s="174" t="str" cm="1">
        <f t="array" ref="T9" xml:space="preserve"> IFERROR( INDEX($F$5:$F$65, MATCH(TRUE, EXACT($Q9, $C$5:$C$65),0)), "")</f>
        <v>t</v>
      </c>
      <c r="V9" s="87">
        <f>V8+1</f>
        <v>5</v>
      </c>
      <c r="W9" s="188" t="s">
        <v>404</v>
      </c>
      <c r="X9" s="26" t="str" cm="1">
        <f t="array" ref="X9" xml:space="preserve"> IFERROR( INDEX($D$5:$D$65, MATCH(TRUE, EXACT($W9, $C$5:$C$65),0)), "")</f>
        <v/>
      </c>
      <c r="Y9" s="108" t="str" cm="1">
        <f t="array" ref="Y9" xml:space="preserve"> IFERROR( INDEX($G$9:$G$65, MATCH(TRUE, EXACT($W9, $C$5:$C$65),0)), "")</f>
        <v/>
      </c>
      <c r="Z9" s="174" t="str" cm="1">
        <f t="array" ref="Z9" xml:space="preserve"> IFERROR( INDEX($F$5:$F$65, MATCH(TRUE, EXACT($W9, $C$5:$C$65),0)), "")</f>
        <v/>
      </c>
      <c r="AB9" s="98">
        <f t="shared" si="3"/>
        <v>5</v>
      </c>
      <c r="AC9" s="71"/>
      <c r="AD9" s="32"/>
      <c r="AE9" s="107"/>
      <c r="AF9" s="34"/>
      <c r="AI9" s="142" t="s">
        <v>405</v>
      </c>
      <c r="AL9" s="176" t="str">
        <f xml:space="preserve"> "- 'xlit|" &amp; AI10 &amp; "|" &amp; AI11 &amp; "|'"</f>
        <v>- 'xlit|34567|˪ˋ˫ˊ．|'</v>
      </c>
      <c r="AQ9" s="147"/>
      <c r="AR9" s="166">
        <f t="shared" si="0"/>
        <v>6</v>
      </c>
      <c r="AS9" s="167" t="s">
        <v>31</v>
      </c>
      <c r="AT9" s="168" t="s">
        <v>32</v>
      </c>
      <c r="AU9" s="169" t="s">
        <v>406</v>
      </c>
      <c r="AV9" s="147"/>
    </row>
    <row r="10" spans="2:48">
      <c r="B10" s="177">
        <f t="shared" si="1"/>
        <v>6</v>
      </c>
      <c r="C10" s="71" t="s">
        <v>341</v>
      </c>
      <c r="D10" s="32" t="s">
        <v>407</v>
      </c>
      <c r="E10" s="178" t="str">
        <f t="shared" si="6"/>
        <v>ㄊ</v>
      </c>
      <c r="F10" s="34" t="s">
        <v>408</v>
      </c>
      <c r="G10" s="107" t="s">
        <v>32</v>
      </c>
      <c r="H10" s="172"/>
      <c r="I10" s="34"/>
      <c r="J10" s="71"/>
      <c r="K10" s="107" t="str">
        <f t="shared" si="2"/>
        <v>["ㄊ"] = "th",</v>
      </c>
      <c r="L10" s="173"/>
      <c r="M10" s="173"/>
      <c r="N10" s="173"/>
      <c r="P10" s="77">
        <f t="shared" ref="P10:P12" si="7">P9+1</f>
        <v>6</v>
      </c>
      <c r="Q10" s="71" t="s">
        <v>409</v>
      </c>
      <c r="R10" s="32" t="str" cm="1">
        <f t="array" ref="R10" xml:space="preserve"> IFERROR( INDEX($D$5:$D$65, MATCH(TRUE, EXACT($Q10, $C$5:$C$65),0)), "")</f>
        <v>ㄊ</v>
      </c>
      <c r="S10" s="107" t="str" cm="1">
        <f t="array" ref="S10" xml:space="preserve"> IFERROR( INDEX($G$9:$G$65, MATCH(TRUE, EXACT($Q10, $C$5:$C$65),0)), "")</f>
        <v>g</v>
      </c>
      <c r="T10" s="179" t="str" cm="1">
        <f t="array" ref="T10" xml:space="preserve"> IFERROR( INDEX($F$5:$F$65, MATCH(TRUE, EXACT($Q10, $C$5:$C$65),0)), "")</f>
        <v>T</v>
      </c>
      <c r="V10" s="77">
        <f t="shared" ref="V10:V12" si="8">V9+1</f>
        <v>6</v>
      </c>
      <c r="W10" s="71" t="s">
        <v>410</v>
      </c>
      <c r="X10" s="32" t="str" cm="1">
        <f t="array" ref="X10" xml:space="preserve"> IFERROR( INDEX($D$5:$D$65, MATCH(TRUE, EXACT($W10, $C$5:$C$65),0)), "")</f>
        <v/>
      </c>
      <c r="Y10" s="107" t="str" cm="1">
        <f t="array" ref="Y10" xml:space="preserve"> IFERROR( INDEX($G$9:$G$65, MATCH(TRUE, EXACT($W10, $C$5:$C$65),0)), "")</f>
        <v/>
      </c>
      <c r="Z10" s="179" t="str" cm="1">
        <f t="array" ref="Z10" xml:space="preserve"> IFERROR( INDEX($F$5:$F$65, MATCH(TRUE, EXACT($W10, $C$5:$C$65),0)), "")</f>
        <v/>
      </c>
      <c r="AB10" s="98">
        <f t="shared" si="3"/>
        <v>6</v>
      </c>
      <c r="AC10" s="71"/>
      <c r="AD10" s="32"/>
      <c r="AE10" s="107"/>
      <c r="AF10" s="34"/>
      <c r="AH10" s="180">
        <f xml:space="preserve"> LEN(AI10)</f>
        <v>5</v>
      </c>
      <c r="AI10" s="148" t="str">
        <f xml:space="preserve"> _xlfn.CONCAT($AC$5:$AC$43, AC45:AC49)</f>
        <v>34567</v>
      </c>
      <c r="AR10" s="166">
        <f t="shared" si="0"/>
        <v>7</v>
      </c>
      <c r="AS10" s="167" t="s">
        <v>33</v>
      </c>
      <c r="AT10" s="168" t="s">
        <v>34</v>
      </c>
      <c r="AU10" s="169" t="s">
        <v>411</v>
      </c>
    </row>
    <row r="11" spans="2:48">
      <c r="B11" s="177">
        <f t="shared" si="1"/>
        <v>7</v>
      </c>
      <c r="C11" s="71" t="s">
        <v>338</v>
      </c>
      <c r="D11" s="32" t="s">
        <v>33</v>
      </c>
      <c r="E11" s="178" t="str">
        <f t="shared" si="6"/>
        <v>ㄋ</v>
      </c>
      <c r="F11" s="34" t="s">
        <v>34</v>
      </c>
      <c r="G11" s="107" t="s">
        <v>34</v>
      </c>
      <c r="H11" s="172"/>
      <c r="I11" s="34"/>
      <c r="J11" s="71"/>
      <c r="K11" s="107" t="str">
        <f t="shared" si="2"/>
        <v>["ㄋ"] = "n",</v>
      </c>
      <c r="L11" s="173"/>
      <c r="M11" s="173"/>
      <c r="N11" s="173"/>
      <c r="P11" s="77">
        <f t="shared" si="7"/>
        <v>7</v>
      </c>
      <c r="Q11" s="71" t="s">
        <v>51</v>
      </c>
      <c r="R11" s="32" t="str" cm="1">
        <f t="array" ref="R11" xml:space="preserve"> IFERROR( INDEX($D$5:$D$65, MATCH(TRUE, EXACT($Q11, $C$5:$C$65),0)), "")</f>
        <v>ㄋ</v>
      </c>
      <c r="S11" s="107" t="str" cm="1">
        <f t="array" ref="S11" xml:space="preserve"> IFERROR( INDEX($G$9:$G$65, MATCH(TRUE, EXACT($Q11, $C$5:$C$65),0)), "")</f>
        <v>kh</v>
      </c>
      <c r="T11" s="181" t="str" cm="1">
        <f t="array" ref="T11" xml:space="preserve"> IFERROR( INDEX($F$5:$F$65, MATCH(TRUE, EXACT($Q11, $C$5:$C$65),0)), "")</f>
        <v>n</v>
      </c>
      <c r="V11" s="77">
        <f t="shared" si="8"/>
        <v>7</v>
      </c>
      <c r="W11" s="71" t="s">
        <v>369</v>
      </c>
      <c r="X11" s="32" t="str" cm="1">
        <f t="array" ref="X11" xml:space="preserve"> IFERROR( INDEX($D$5:$D$65, MATCH(TRUE, EXACT($W11, $C$5:$C$65),0)), "")</f>
        <v/>
      </c>
      <c r="Y11" s="107" t="str" cm="1">
        <f t="array" ref="Y11" xml:space="preserve"> IFERROR( INDEX($G$9:$G$65, MATCH(TRUE, EXACT($W11, $C$5:$C$65),0)), "")</f>
        <v/>
      </c>
      <c r="Z11" s="181" t="str" cm="1">
        <f t="array" ref="Z11" xml:space="preserve"> IFERROR( INDEX($F$5:$F$65, MATCH(TRUE, EXACT($W11, $C$5:$C$65),0)), "")</f>
        <v/>
      </c>
      <c r="AB11" s="98">
        <f t="shared" si="3"/>
        <v>7</v>
      </c>
      <c r="AC11" s="71"/>
      <c r="AD11" s="32"/>
      <c r="AE11" s="107"/>
      <c r="AF11" s="117"/>
      <c r="AH11" s="180">
        <f xml:space="preserve"> LEN(AI11)</f>
        <v>5</v>
      </c>
      <c r="AI11" s="189" t="str">
        <f xml:space="preserve"> _xlfn.CONCAT($AD$5:$AD$43, AD45:AD49)</f>
        <v>˪ˋ˫ˊ．</v>
      </c>
      <c r="AQ11" s="147"/>
      <c r="AR11" s="166">
        <f t="shared" si="0"/>
        <v>8</v>
      </c>
      <c r="AS11" s="167" t="s">
        <v>85</v>
      </c>
      <c r="AT11" s="168" t="s">
        <v>86</v>
      </c>
      <c r="AU11" s="169" t="s">
        <v>412</v>
      </c>
      <c r="AV11" s="147"/>
    </row>
    <row r="12" spans="2:48">
      <c r="B12" s="182">
        <f t="shared" si="1"/>
        <v>8</v>
      </c>
      <c r="C12" s="73" t="s">
        <v>332</v>
      </c>
      <c r="D12" s="42" t="s">
        <v>85</v>
      </c>
      <c r="E12" s="183" t="str">
        <f t="shared" si="6"/>
        <v>ㄌ</v>
      </c>
      <c r="F12" s="44" t="s">
        <v>86</v>
      </c>
      <c r="G12" s="105" t="s">
        <v>86</v>
      </c>
      <c r="H12" s="172"/>
      <c r="I12" s="34"/>
      <c r="J12" s="71"/>
      <c r="K12" s="107" t="str">
        <f t="shared" si="2"/>
        <v>["ㄌ"] = "l",</v>
      </c>
      <c r="L12" s="173"/>
      <c r="M12" s="173"/>
      <c r="N12" s="173"/>
      <c r="P12" s="78">
        <f t="shared" si="7"/>
        <v>8</v>
      </c>
      <c r="Q12" s="73" t="s">
        <v>413</v>
      </c>
      <c r="R12" s="42" t="str" cm="1">
        <f t="array" ref="R12" xml:space="preserve"> IFERROR( INDEX($D$5:$D$65, MATCH(TRUE, EXACT($Q12, $C$5:$C$65),0)), "")</f>
        <v>ㄌ</v>
      </c>
      <c r="S12" s="105" t="str" cm="1">
        <f t="array" ref="S12" xml:space="preserve"> IFERROR( INDEX($G$9:$G$65, MATCH(TRUE, EXACT($Q12, $C$5:$C$65),0)), "")</f>
        <v>ng</v>
      </c>
      <c r="T12" s="187" t="str" cm="1">
        <f t="array" ref="T12" xml:space="preserve"> IFERROR( INDEX($F$5:$F$65, MATCH(TRUE, EXACT($Q12, $C$5:$C$65),0)), "")</f>
        <v>l</v>
      </c>
      <c r="V12" s="78">
        <f t="shared" si="8"/>
        <v>8</v>
      </c>
      <c r="W12" s="73" t="s">
        <v>414</v>
      </c>
      <c r="X12" s="42" t="str" cm="1">
        <f t="array" ref="X12" xml:space="preserve"> IFERROR( INDEX($D$5:$D$65, MATCH(TRUE, EXACT($W12, $C$5:$C$65),0)), "")</f>
        <v/>
      </c>
      <c r="Y12" s="105" t="str" cm="1">
        <f t="array" ref="Y12" xml:space="preserve"> IFERROR( INDEX($G$9:$G$65, MATCH(TRUE, EXACT($W12, $C$5:$C$65),0)), "")</f>
        <v/>
      </c>
      <c r="Z12" s="187" t="str" cm="1">
        <f t="array" ref="Z12" xml:space="preserve"> IFERROR( INDEX($F$5:$F$65, MATCH(TRUE, EXACT($W12, $C$5:$C$65),0)), "")</f>
        <v/>
      </c>
      <c r="AB12" s="98">
        <f t="shared" si="3"/>
        <v>8</v>
      </c>
      <c r="AC12" s="71"/>
      <c r="AD12" s="32"/>
      <c r="AE12" s="107"/>
      <c r="AF12" s="34"/>
      <c r="AQ12" s="147"/>
      <c r="AR12" s="166">
        <f t="shared" si="0"/>
        <v>9</v>
      </c>
      <c r="AS12" s="167" t="s">
        <v>36</v>
      </c>
      <c r="AT12" s="168" t="s">
        <v>37</v>
      </c>
      <c r="AU12" s="169" t="s">
        <v>415</v>
      </c>
      <c r="AV12" s="147"/>
    </row>
    <row r="13" spans="2:48">
      <c r="B13" s="170">
        <f t="shared" si="1"/>
        <v>9</v>
      </c>
      <c r="C13" s="109" t="s">
        <v>329</v>
      </c>
      <c r="D13" s="171" t="str">
        <f>E13</f>
        <v>ㄍ</v>
      </c>
      <c r="E13" s="26" t="s">
        <v>36</v>
      </c>
      <c r="F13" s="28" t="s">
        <v>37</v>
      </c>
      <c r="G13" s="108" t="s">
        <v>37</v>
      </c>
      <c r="H13" s="172"/>
      <c r="I13" s="28" t="str">
        <f>_xlfn.CONCAT(F13:F16)</f>
        <v>kgKw</v>
      </c>
      <c r="J13" s="109" t="str">
        <f xml:space="preserve"> _xlfn.CONCAT(C13:C16)</f>
        <v>eEd?</v>
      </c>
      <c r="K13" s="107" t="str">
        <f t="shared" si="2"/>
        <v>["ㄍ"] = "k",</v>
      </c>
      <c r="L13" s="173"/>
      <c r="M13" s="173"/>
      <c r="N13" s="173"/>
      <c r="P13" s="87">
        <f>P12+1</f>
        <v>9</v>
      </c>
      <c r="Q13" s="109">
        <v>3</v>
      </c>
      <c r="R13" s="26" t="str" cm="1">
        <f t="array" ref="R13" xml:space="preserve"> IFERROR( INDEX($D$5:$D$65, MATCH(TRUE, EXACT($Q13, $C$5:$C$65),0)), "")</f>
        <v>'</v>
      </c>
      <c r="S13" s="108" cm="1">
        <f t="array" ref="S13" xml:space="preserve"> IFERROR( INDEX($G$9:$G$65, MATCH(TRUE, EXACT($Q13, $C$5:$C$65),0)), "")</f>
        <v>0</v>
      </c>
      <c r="T13" s="174" cm="1">
        <f t="array" ref="T13" xml:space="preserve"> IFERROR( INDEX($F$5:$F$65, MATCH(TRUE, EXACT($Q13, $C$5:$C$65),0)), "")</f>
        <v>3</v>
      </c>
      <c r="V13" s="87">
        <f>V12+1</f>
        <v>9</v>
      </c>
      <c r="W13" s="188" t="s">
        <v>416</v>
      </c>
      <c r="X13" s="26" t="str" cm="1">
        <f t="array" ref="X13" xml:space="preserve"> IFERROR( INDEX($D$5:$D$65, MATCH(TRUE, EXACT($W13, $C$5:$C$65),0)), "")</f>
        <v/>
      </c>
      <c r="Y13" s="108" t="str" cm="1">
        <f t="array" ref="Y13" xml:space="preserve"> IFERROR( INDEX($G$9:$G$65, MATCH(TRUE, EXACT($W13, $C$5:$C$65),0)), "")</f>
        <v/>
      </c>
      <c r="Z13" s="174" t="str" cm="1">
        <f t="array" ref="Z13" xml:space="preserve"> IFERROR( INDEX($F$5:$F$65, MATCH(TRUE, EXACT($W13, $C$5:$C$65),0)), "")</f>
        <v/>
      </c>
      <c r="AB13" s="98">
        <f t="shared" si="3"/>
        <v>9</v>
      </c>
      <c r="AC13" s="71"/>
      <c r="AD13" s="32"/>
      <c r="AE13" s="107"/>
      <c r="AF13" s="34"/>
      <c r="AI13" s="142" t="s">
        <v>417</v>
      </c>
      <c r="AL13" s="176" t="str">
        <f xml:space="preserve"> "- 'xlit|" &amp; AI14 &amp; "|" &amp; AI15 &amp; "|'"</f>
        <v>- 'xlit|132750| ˪ˋ˫ˊ．|'</v>
      </c>
      <c r="AR13" s="166">
        <f t="shared" si="0"/>
        <v>10</v>
      </c>
      <c r="AS13" s="167" t="s">
        <v>36</v>
      </c>
      <c r="AT13" s="168" t="s">
        <v>418</v>
      </c>
      <c r="AU13" s="169" t="s">
        <v>419</v>
      </c>
    </row>
    <row r="14" spans="2:48">
      <c r="B14" s="177">
        <f t="shared" si="1"/>
        <v>10</v>
      </c>
      <c r="C14" s="71" t="s">
        <v>322</v>
      </c>
      <c r="D14" s="178" t="s">
        <v>420</v>
      </c>
      <c r="E14" s="32" t="s">
        <v>41</v>
      </c>
      <c r="F14" s="34" t="s">
        <v>184</v>
      </c>
      <c r="G14" s="107" t="s">
        <v>184</v>
      </c>
      <c r="H14" s="172"/>
      <c r="I14" s="34"/>
      <c r="J14" s="71"/>
      <c r="K14" s="107" t="str">
        <f t="shared" si="2"/>
        <v>["ㆣ"] = "g",</v>
      </c>
      <c r="L14" s="173"/>
      <c r="M14" s="173"/>
      <c r="N14" s="173"/>
      <c r="O14" s="138" t="s">
        <v>364</v>
      </c>
      <c r="P14" s="77">
        <f t="shared" ref="P14:P16" si="9">P13+1</f>
        <v>10</v>
      </c>
      <c r="Q14" s="71" t="s">
        <v>62</v>
      </c>
      <c r="R14" s="32" t="str" cm="1">
        <f t="array" ref="R14" xml:space="preserve"> IFERROR( INDEX($D$5:$D$65, MATCH(TRUE, EXACT($Q14, $C$5:$C$65),0)), "")</f>
        <v>ㄍ</v>
      </c>
      <c r="S14" s="107" t="str" cm="1">
        <f t="array" ref="S14" xml:space="preserve"> IFERROR( INDEX($G$9:$G$65, MATCH(TRUE, EXACT($Q14, $C$5:$C$65),0)), "")</f>
        <v>z</v>
      </c>
      <c r="T14" s="179" t="str" cm="1">
        <f t="array" ref="T14" xml:space="preserve"> IFERROR( INDEX($F$5:$F$65, MATCH(TRUE, EXACT($Q14, $C$5:$C$65),0)), "")</f>
        <v>k</v>
      </c>
      <c r="V14" s="77">
        <f t="shared" ref="V14:V16" si="10">V13+1</f>
        <v>10</v>
      </c>
      <c r="W14" s="71" t="s">
        <v>421</v>
      </c>
      <c r="X14" s="32" t="str" cm="1">
        <f t="array" ref="X14" xml:space="preserve"> IFERROR( INDEX($D$5:$D$65, MATCH(TRUE, EXACT($W14, $C$5:$C$65),0)), "")</f>
        <v>ㄍㄏ</v>
      </c>
      <c r="Y14" s="107" t="str" cm="1">
        <f t="array" ref="Y14" xml:space="preserve"> IFERROR( INDEX($G$9:$G$65, MATCH(TRUE, EXACT($W14, $C$5:$C$65),0)), "")</f>
        <v>c</v>
      </c>
      <c r="Z14" s="179" t="str" cm="1">
        <f t="array" ref="Z14" xml:space="preserve"> IFERROR( INDEX($F$5:$F$65, MATCH(TRUE, EXACT($W14, $C$5:$C$65),0)), "")</f>
        <v>g</v>
      </c>
      <c r="AB14" s="98">
        <f t="shared" si="3"/>
        <v>10</v>
      </c>
      <c r="AC14" s="71"/>
      <c r="AD14" s="32"/>
      <c r="AE14" s="107"/>
      <c r="AF14" s="34"/>
      <c r="AH14" s="180">
        <f xml:space="preserve"> LEN(AI14)</f>
        <v>6</v>
      </c>
      <c r="AI14" s="148" t="str">
        <f xml:space="preserve"> _xlfn.CONCAT($AF$5:$AF$49)</f>
        <v>132750</v>
      </c>
      <c r="AR14" s="166">
        <f t="shared" si="0"/>
        <v>11</v>
      </c>
      <c r="AS14" s="167" t="s">
        <v>38</v>
      </c>
      <c r="AT14" s="168" t="s">
        <v>422</v>
      </c>
      <c r="AU14" s="169" t="s">
        <v>423</v>
      </c>
    </row>
    <row r="15" spans="2:48">
      <c r="B15" s="177">
        <f t="shared" si="1"/>
        <v>11</v>
      </c>
      <c r="C15" s="71" t="s">
        <v>309</v>
      </c>
      <c r="D15" s="178" t="str">
        <f>E15</f>
        <v>ㄎ</v>
      </c>
      <c r="E15" s="32" t="s">
        <v>424</v>
      </c>
      <c r="F15" s="34" t="s">
        <v>425</v>
      </c>
      <c r="G15" s="107" t="s">
        <v>418</v>
      </c>
      <c r="H15" s="172"/>
      <c r="I15" s="34"/>
      <c r="J15" s="71"/>
      <c r="K15" s="107" t="str">
        <f t="shared" si="2"/>
        <v>["ㄎ"] = "kh",</v>
      </c>
      <c r="L15" s="173"/>
      <c r="M15" s="173"/>
      <c r="N15" s="173"/>
      <c r="P15" s="77">
        <f t="shared" si="9"/>
        <v>11</v>
      </c>
      <c r="Q15" s="71" t="s">
        <v>328</v>
      </c>
      <c r="R15" s="32" t="str" cm="1">
        <f t="array" ref="R15" xml:space="preserve"> IFERROR( INDEX($D$5:$D$65, MATCH(TRUE, EXACT($Q15, $C$5:$C$65),0)), "")</f>
        <v>ㄎ</v>
      </c>
      <c r="S15" s="107" t="str" cm="1">
        <f t="array" ref="S15" xml:space="preserve"> IFERROR( INDEX($G$9:$G$65, MATCH(TRUE, EXACT($Q15, $C$5:$C$65),0)), "")</f>
        <v>s</v>
      </c>
      <c r="T15" s="181" t="str" cm="1">
        <f t="array" ref="T15" xml:space="preserve"> IFERROR( INDEX($F$5:$F$65, MATCH(TRUE, EXACT($Q15, $C$5:$C$65),0)), "")</f>
        <v>K</v>
      </c>
      <c r="V15" s="77">
        <f t="shared" si="10"/>
        <v>11</v>
      </c>
      <c r="W15" s="71" t="s">
        <v>426</v>
      </c>
      <c r="X15" s="32" t="str" cm="1">
        <f t="array" ref="X15" xml:space="preserve"> IFERROR( INDEX($D$5:$D$65, MATCH(TRUE, EXACT($W15, $C$5:$C$65),0)), "")</f>
        <v/>
      </c>
      <c r="Y15" s="107" t="str" cm="1">
        <f t="array" ref="Y15" xml:space="preserve"> IFERROR( INDEX($G$9:$G$65, MATCH(TRUE, EXACT($W15, $C$5:$C$65),0)), "")</f>
        <v/>
      </c>
      <c r="Z15" s="181" t="str" cm="1">
        <f t="array" ref="Z15" xml:space="preserve"> IFERROR( INDEX($F$5:$F$65, MATCH(TRUE, EXACT($W15, $C$5:$C$65),0)), "")</f>
        <v/>
      </c>
      <c r="AB15" s="98">
        <f t="shared" si="3"/>
        <v>11</v>
      </c>
      <c r="AC15" s="71"/>
      <c r="AD15" s="32"/>
      <c r="AE15" s="107"/>
      <c r="AF15" s="117"/>
      <c r="AH15" s="180">
        <f xml:space="preserve"> LEN(AI15)</f>
        <v>6</v>
      </c>
      <c r="AI15" s="148" t="str">
        <f xml:space="preserve"> _xlfn.CONCAT($AD$5:$AD$49)</f>
        <v xml:space="preserve"> ˪ˋ˫ˊ．</v>
      </c>
      <c r="AQ15" s="190"/>
      <c r="AR15" s="166">
        <f t="shared" si="0"/>
        <v>12</v>
      </c>
      <c r="AS15" s="167" t="s">
        <v>38</v>
      </c>
      <c r="AT15" s="168" t="s">
        <v>427</v>
      </c>
      <c r="AU15" s="169" t="s">
        <v>428</v>
      </c>
      <c r="AV15" s="190"/>
    </row>
    <row r="16" spans="2:48">
      <c r="B16" s="182">
        <f t="shared" si="1"/>
        <v>12</v>
      </c>
      <c r="C16" s="73" t="s">
        <v>429</v>
      </c>
      <c r="D16" s="191" t="s">
        <v>127</v>
      </c>
      <c r="E16" s="192" t="s">
        <v>87</v>
      </c>
      <c r="F16" s="44" t="s">
        <v>341</v>
      </c>
      <c r="G16" s="105" t="s">
        <v>140</v>
      </c>
      <c r="H16" s="172"/>
      <c r="I16" s="44"/>
      <c r="J16" s="73"/>
      <c r="K16" s="107" t="str">
        <f t="shared" si="2"/>
        <v>["ㄫ"] = "ng",</v>
      </c>
      <c r="L16" s="173"/>
      <c r="M16" s="173"/>
      <c r="N16" s="173"/>
      <c r="P16" s="78">
        <f t="shared" si="9"/>
        <v>12</v>
      </c>
      <c r="Q16" s="73" t="s">
        <v>287</v>
      </c>
      <c r="R16" s="42" t="str" cm="1">
        <f t="array" ref="R16" xml:space="preserve"> IFERROR( INDEX($D$5:$D$65, MATCH(TRUE, EXACT($Q16, $C$5:$C$65),0)), "")</f>
        <v>ㄏ</v>
      </c>
      <c r="S16" s="105" t="str" cm="1">
        <f t="array" ref="S16" xml:space="preserve"> IFERROR( INDEX($G$9:$G$65, MATCH(TRUE, EXACT($Q16, $C$5:$C$65),0)), "")</f>
        <v>Nu</v>
      </c>
      <c r="T16" s="187" t="str" cm="1">
        <f t="array" ref="T16" xml:space="preserve"> IFERROR( INDEX($F$5:$F$65, MATCH(TRUE, EXACT($Q16, $C$5:$C$65),0)), "")</f>
        <v>h</v>
      </c>
      <c r="V16" s="78">
        <f t="shared" si="10"/>
        <v>12</v>
      </c>
      <c r="W16" s="73" t="s">
        <v>286</v>
      </c>
      <c r="X16" s="42" t="str" cm="1">
        <f t="array" ref="X16" xml:space="preserve"> IFERROR( INDEX($D$5:$D$65, MATCH(TRUE, EXACT($W16, $C$5:$C$65),0)), "")</f>
        <v/>
      </c>
      <c r="Y16" s="105" t="str" cm="1">
        <f t="array" ref="Y16" xml:space="preserve"> IFERROR( INDEX($G$9:$G$65, MATCH(TRUE, EXACT($W16, $C$5:$C$65),0)), "")</f>
        <v/>
      </c>
      <c r="Z16" s="187" t="str" cm="1">
        <f t="array" ref="Z16" xml:space="preserve"> IFERROR( INDEX($F$5:$F$65, MATCH(TRUE, EXACT($W16, $C$5:$C$65),0)), "")</f>
        <v/>
      </c>
      <c r="AB16" s="98">
        <f t="shared" si="3"/>
        <v>12</v>
      </c>
      <c r="AC16" s="71"/>
      <c r="AD16" s="32"/>
      <c r="AE16" s="107"/>
      <c r="AF16" s="34"/>
      <c r="AQ16" s="193"/>
      <c r="AR16" s="166">
        <f t="shared" si="0"/>
        <v>13</v>
      </c>
      <c r="AS16" s="167" t="s">
        <v>52</v>
      </c>
      <c r="AT16" s="168" t="s">
        <v>430</v>
      </c>
      <c r="AU16" s="169" t="s">
        <v>431</v>
      </c>
      <c r="AV16" s="193"/>
    </row>
    <row r="17" spans="2:48">
      <c r="B17" s="170">
        <f t="shared" si="1"/>
        <v>13</v>
      </c>
      <c r="C17" s="109" t="s">
        <v>370</v>
      </c>
      <c r="D17" s="26" t="s">
        <v>43</v>
      </c>
      <c r="E17" s="171" t="str">
        <f t="shared" ref="E17:E19" si="11">D17</f>
        <v>ㄗ</v>
      </c>
      <c r="F17" s="28" t="s">
        <v>366</v>
      </c>
      <c r="G17" s="108" t="s">
        <v>366</v>
      </c>
      <c r="H17" s="172"/>
      <c r="I17" s="28" t="str">
        <f>_xlfn.CONCAT(F17:F20)</f>
        <v>zcsj</v>
      </c>
      <c r="J17" s="109" t="str">
        <f xml:space="preserve"> _xlfn.CONCAT(C17:C20)</f>
        <v>yhnb</v>
      </c>
      <c r="K17" s="107" t="str">
        <f t="shared" si="2"/>
        <v>["ㄗ"] = "z",</v>
      </c>
      <c r="L17" s="173"/>
      <c r="M17" s="173"/>
      <c r="N17" s="173"/>
      <c r="P17" s="87">
        <f>P16+1</f>
        <v>13</v>
      </c>
      <c r="Q17" s="109">
        <v>4</v>
      </c>
      <c r="R17" s="26" t="str" cm="1">
        <f t="array" ref="R17" xml:space="preserve"> IFERROR( INDEX($D$5:$D$65, MATCH(TRUE, EXACT($Q17, $C$5:$C$65),0)), "")</f>
        <v>ˋ</v>
      </c>
      <c r="S17" s="108" cm="1">
        <f t="array" ref="S17" xml:space="preserve"> IFERROR( INDEX($G$9:$G$65, MATCH(TRUE, EXACT($Q17, $C$5:$C$65),0)), "")</f>
        <v>0</v>
      </c>
      <c r="T17" s="174" cm="1">
        <f t="array" ref="T17" xml:space="preserve"> IFERROR( INDEX($F$5:$F$65, MATCH(TRUE, EXACT($Q17, $C$5:$C$65),0)), "")</f>
        <v>2</v>
      </c>
      <c r="V17" s="87">
        <f>V16+1</f>
        <v>13</v>
      </c>
      <c r="W17" s="188" t="s">
        <v>432</v>
      </c>
      <c r="X17" s="26" t="str" cm="1">
        <f t="array" ref="X17" xml:space="preserve"> IFERROR( INDEX($D$5:$D$65, MATCH(TRUE, EXACT($W17, $C$5:$C$65),0)), "")</f>
        <v/>
      </c>
      <c r="Y17" s="108" t="str" cm="1">
        <f t="array" ref="Y17" xml:space="preserve"> IFERROR( INDEX($G$9:$G$65, MATCH(TRUE, EXACT($W17, $C$5:$C$65),0)), "")</f>
        <v/>
      </c>
      <c r="Z17" s="174" t="str" cm="1">
        <f t="array" ref="Z17" xml:space="preserve"> IFERROR( INDEX($F$5:$F$65, MATCH(TRUE, EXACT($W17, $C$5:$C$65),0)), "")</f>
        <v/>
      </c>
      <c r="AB17" s="98">
        <f t="shared" si="3"/>
        <v>13</v>
      </c>
      <c r="AC17" s="71"/>
      <c r="AD17" s="32"/>
      <c r="AE17" s="107"/>
      <c r="AF17" s="34"/>
      <c r="AQ17" s="193"/>
      <c r="AR17" s="166">
        <f t="shared" si="0"/>
        <v>14</v>
      </c>
      <c r="AS17" s="167" t="s">
        <v>89</v>
      </c>
      <c r="AT17" s="168" t="s">
        <v>433</v>
      </c>
      <c r="AU17" s="169" t="s">
        <v>434</v>
      </c>
      <c r="AV17" s="193"/>
    </row>
    <row r="18" spans="2:48">
      <c r="B18" s="177">
        <f t="shared" si="1"/>
        <v>14</v>
      </c>
      <c r="C18" s="71" t="s">
        <v>53</v>
      </c>
      <c r="D18" s="32" t="s">
        <v>46</v>
      </c>
      <c r="E18" s="178" t="str">
        <f t="shared" si="11"/>
        <v>ㄘ</v>
      </c>
      <c r="F18" s="34" t="s">
        <v>287</v>
      </c>
      <c r="G18" s="107" t="s">
        <v>287</v>
      </c>
      <c r="H18" s="172"/>
      <c r="I18" s="34"/>
      <c r="J18" s="71"/>
      <c r="K18" s="107" t="str">
        <f t="shared" si="2"/>
        <v>["ㄘ"] = "c",</v>
      </c>
      <c r="L18" s="173"/>
      <c r="M18" s="173"/>
      <c r="N18" s="173"/>
      <c r="P18" s="77">
        <f t="shared" ref="P18:P20" si="12">P17+1</f>
        <v>14</v>
      </c>
      <c r="Q18" s="71" t="s">
        <v>435</v>
      </c>
      <c r="R18" s="32" t="str" cm="1">
        <f t="array" ref="R18" xml:space="preserve"> IFERROR( INDEX($D$5:$D$65, MATCH(TRUE, EXACT($Q18, $C$5:$C$65),0)), "")</f>
        <v/>
      </c>
      <c r="S18" s="107" t="str" cm="1">
        <f t="array" ref="S18" xml:space="preserve"> IFERROR( INDEX($G$9:$G$65, MATCH(TRUE, EXACT($Q18, $C$5:$C$65),0)), "")</f>
        <v/>
      </c>
      <c r="T18" s="179" t="str" cm="1">
        <f t="array" ref="T18" xml:space="preserve"> IFERROR( INDEX($F$5:$F$65, MATCH(TRUE, EXACT($Q18, $C$5:$C$65),0)), "")</f>
        <v/>
      </c>
      <c r="V18" s="77">
        <f t="shared" ref="V18:V20" si="13">V17+1</f>
        <v>14</v>
      </c>
      <c r="W18" s="71" t="s">
        <v>436</v>
      </c>
      <c r="X18" s="32" t="str" cm="1">
        <f t="array" ref="X18" xml:space="preserve"> IFERROR( INDEX($D$5:$D$65, MATCH(TRUE, EXACT($W18, $C$5:$C$65),0)), "")</f>
        <v/>
      </c>
      <c r="Y18" s="107" t="str" cm="1">
        <f t="array" ref="Y18" xml:space="preserve"> IFERROR( INDEX($G$9:$G$65, MATCH(TRUE, EXACT($W18, $C$5:$C$65),0)), "")</f>
        <v/>
      </c>
      <c r="Z18" s="179" t="str" cm="1">
        <f t="array" ref="Z18" xml:space="preserve"> IFERROR( INDEX($F$5:$F$65, MATCH(TRUE, EXACT($W18, $C$5:$C$65),0)), "")</f>
        <v/>
      </c>
      <c r="AB18" s="98">
        <f t="shared" si="3"/>
        <v>14</v>
      </c>
      <c r="AC18" s="71"/>
      <c r="AD18" s="32"/>
      <c r="AE18" s="107"/>
      <c r="AF18" s="34"/>
      <c r="AQ18" s="193"/>
      <c r="AR18" s="166">
        <f t="shared" si="0"/>
        <v>15</v>
      </c>
      <c r="AS18" s="167" t="s">
        <v>89</v>
      </c>
      <c r="AT18" s="168" t="s">
        <v>184</v>
      </c>
      <c r="AU18" s="169" t="s">
        <v>437</v>
      </c>
      <c r="AV18" s="193"/>
    </row>
    <row r="19" spans="2:48">
      <c r="B19" s="177">
        <f t="shared" si="1"/>
        <v>15</v>
      </c>
      <c r="C19" s="71" t="s">
        <v>34</v>
      </c>
      <c r="D19" s="32" t="s">
        <v>50</v>
      </c>
      <c r="E19" s="178" t="str">
        <f t="shared" si="11"/>
        <v>ㄙ</v>
      </c>
      <c r="F19" s="34" t="s">
        <v>338</v>
      </c>
      <c r="G19" s="107" t="s">
        <v>338</v>
      </c>
      <c r="H19" s="172"/>
      <c r="I19" s="34"/>
      <c r="J19" s="71"/>
      <c r="K19" s="107" t="str">
        <f t="shared" si="2"/>
        <v>["ㄙ"] = "s",</v>
      </c>
      <c r="L19" s="173"/>
      <c r="M19" s="173"/>
      <c r="N19" s="173"/>
      <c r="P19" s="77">
        <f t="shared" si="12"/>
        <v>15</v>
      </c>
      <c r="Q19" s="71" t="s">
        <v>438</v>
      </c>
      <c r="R19" s="32" t="str" cm="1">
        <f t="array" ref="R19" xml:space="preserve"> IFERROR( INDEX($D$5:$D$65, MATCH(TRUE, EXACT($Q19, $C$5:$C$65),0)), "")</f>
        <v/>
      </c>
      <c r="S19" s="107" t="str" cm="1">
        <f t="array" ref="S19" xml:space="preserve"> IFERROR( INDEX($G$9:$G$65, MATCH(TRUE, EXACT($Q19, $C$5:$C$65),0)), "")</f>
        <v/>
      </c>
      <c r="T19" s="181" t="str" cm="1">
        <f t="array" ref="T19" xml:space="preserve"> IFERROR( INDEX($F$5:$F$65, MATCH(TRUE, EXACT($Q19, $C$5:$C$65),0)), "")</f>
        <v/>
      </c>
      <c r="V19" s="77">
        <f t="shared" si="13"/>
        <v>15</v>
      </c>
      <c r="W19" s="71" t="s">
        <v>439</v>
      </c>
      <c r="X19" s="32" t="str" cm="1">
        <f t="array" ref="X19" xml:space="preserve"> IFERROR( INDEX($D$5:$D$65, MATCH(TRUE, EXACT($W19, $C$5:$C$65),0)), "")</f>
        <v/>
      </c>
      <c r="Y19" s="107" t="str" cm="1">
        <f t="array" ref="Y19" xml:space="preserve"> IFERROR( INDEX($G$9:$G$65, MATCH(TRUE, EXACT($W19, $C$5:$C$65),0)), "")</f>
        <v/>
      </c>
      <c r="Z19" s="181" t="str" cm="1">
        <f t="array" ref="Z19" xml:space="preserve"> IFERROR( INDEX($F$5:$F$65, MATCH(TRUE, EXACT($W19, $C$5:$C$65),0)), "")</f>
        <v/>
      </c>
      <c r="AB19" s="98">
        <f t="shared" si="3"/>
        <v>15</v>
      </c>
      <c r="AC19" s="71"/>
      <c r="AD19" s="32"/>
      <c r="AE19" s="107"/>
      <c r="AF19" s="117"/>
      <c r="AQ19" s="193"/>
      <c r="AR19" s="166">
        <f t="shared" si="0"/>
        <v>16</v>
      </c>
      <c r="AS19" s="167" t="s">
        <v>91</v>
      </c>
      <c r="AT19" s="168" t="s">
        <v>140</v>
      </c>
      <c r="AU19" s="169" t="s">
        <v>440</v>
      </c>
      <c r="AV19" s="193"/>
    </row>
    <row r="20" spans="2:48">
      <c r="B20" s="182">
        <f t="shared" si="1"/>
        <v>16</v>
      </c>
      <c r="C20" s="73" t="s">
        <v>28</v>
      </c>
      <c r="D20" s="191" t="s">
        <v>441</v>
      </c>
      <c r="E20" s="192" t="s">
        <v>442</v>
      </c>
      <c r="F20" s="44" t="s">
        <v>49</v>
      </c>
      <c r="G20" s="105" t="s">
        <v>254</v>
      </c>
      <c r="H20" s="172"/>
      <c r="I20" s="34"/>
      <c r="J20" s="71"/>
      <c r="K20" s="107" t="str">
        <f t="shared" si="2"/>
        <v>["ㆡ"] = "j",</v>
      </c>
      <c r="L20" s="173"/>
      <c r="M20" s="173"/>
      <c r="N20" s="173"/>
      <c r="P20" s="78">
        <f t="shared" si="12"/>
        <v>16</v>
      </c>
      <c r="Q20" s="73" t="s">
        <v>443</v>
      </c>
      <c r="R20" s="42" t="str" cm="1">
        <f t="array" ref="R20" xml:space="preserve"> IFERROR( INDEX($D$5:$D$65, MATCH(TRUE, EXACT($Q20, $C$5:$C$65),0)), "")</f>
        <v/>
      </c>
      <c r="S20" s="105" t="str" cm="1">
        <f t="array" ref="S20" xml:space="preserve"> IFERROR( INDEX($G$9:$G$65, MATCH(TRUE, EXACT($Q20, $C$5:$C$65),0)), "")</f>
        <v/>
      </c>
      <c r="T20" s="187" t="str" cm="1">
        <f t="array" ref="T20" xml:space="preserve"> IFERROR( INDEX($F$5:$F$65, MATCH(TRUE, EXACT($Q20, $C$5:$C$65),0)), "")</f>
        <v/>
      </c>
      <c r="V20" s="78">
        <f t="shared" si="13"/>
        <v>16</v>
      </c>
      <c r="W20" s="73" t="s">
        <v>444</v>
      </c>
      <c r="X20" s="42" t="str" cm="1">
        <f t="array" ref="X20" xml:space="preserve"> IFERROR( INDEX($D$5:$D$65, MATCH(TRUE, EXACT($W20, $C$5:$C$65),0)), "")</f>
        <v/>
      </c>
      <c r="Y20" s="105" t="str" cm="1">
        <f t="array" ref="Y20" xml:space="preserve"> IFERROR( INDEX($G$9:$G$65, MATCH(TRUE, EXACT($W20, $C$5:$C$65),0)), "")</f>
        <v/>
      </c>
      <c r="Z20" s="187" t="str" cm="1">
        <f t="array" ref="Z20" xml:space="preserve"> IFERROR( INDEX($F$5:$F$65, MATCH(TRUE, EXACT($W20, $C$5:$C$65),0)), "")</f>
        <v/>
      </c>
      <c r="AB20" s="98">
        <f t="shared" si="3"/>
        <v>16</v>
      </c>
      <c r="AC20" s="71"/>
      <c r="AD20" s="32"/>
      <c r="AE20" s="107"/>
      <c r="AF20" s="34"/>
      <c r="AR20" s="166">
        <f t="shared" si="0"/>
        <v>17</v>
      </c>
      <c r="AS20" s="167" t="s">
        <v>284</v>
      </c>
      <c r="AT20" s="168" t="s">
        <v>445</v>
      </c>
      <c r="AU20" s="169" t="s">
        <v>446</v>
      </c>
    </row>
    <row r="21" spans="2:48">
      <c r="B21" s="170">
        <f t="shared" si="1"/>
        <v>17</v>
      </c>
      <c r="C21" s="109" t="s">
        <v>447</v>
      </c>
      <c r="D21" s="171" t="s">
        <v>448</v>
      </c>
      <c r="E21" s="26" t="s">
        <v>89</v>
      </c>
      <c r="F21" s="28" t="s">
        <v>449</v>
      </c>
      <c r="G21" s="108" t="s">
        <v>450</v>
      </c>
      <c r="H21" s="172" t="s">
        <v>451</v>
      </c>
      <c r="I21" s="28" t="str">
        <f>_xlfn.CONCAT(F21:F25)</f>
        <v>ZCSJh</v>
      </c>
      <c r="J21" s="109" t="str">
        <f xml:space="preserve"> _xlfn.CONCAT(C21:C25)</f>
        <v>YHNBc</v>
      </c>
      <c r="K21" s="107" t="str">
        <f t="shared" si="2"/>
        <v>["ㄐ"] = "zi-",</v>
      </c>
      <c r="L21" s="194"/>
      <c r="M21" s="194"/>
      <c r="N21" s="173"/>
      <c r="P21" s="87">
        <f>P20+1</f>
        <v>17</v>
      </c>
      <c r="Q21" s="109">
        <v>5</v>
      </c>
      <c r="R21" s="26" t="str" cm="1">
        <f t="array" ref="R21" xml:space="preserve"> IFERROR( INDEX($D$5:$D$65, MATCH(TRUE, EXACT($Q21, $C$5:$C$65),0)), "")</f>
        <v>"</v>
      </c>
      <c r="S21" s="108" cm="1">
        <f t="array" ref="S21" xml:space="preserve"> IFERROR( INDEX($G$9:$G$65, MATCH(TRUE, EXACT($Q21, $C$5:$C$65),0)), "")</f>
        <v>0</v>
      </c>
      <c r="T21" s="174" cm="1">
        <f t="array" ref="T21" xml:space="preserve"> IFERROR( INDEX($F$5:$F$65, MATCH(TRUE, EXACT($Q21, $C$5:$C$65),0)), "")</f>
        <v>7</v>
      </c>
      <c r="V21" s="87">
        <f>V20+1</f>
        <v>17</v>
      </c>
      <c r="W21" s="188" t="s">
        <v>452</v>
      </c>
      <c r="X21" s="26" t="str" cm="1">
        <f t="array" ref="X21" xml:space="preserve"> IFERROR( INDEX($D$5:$D$65, MATCH(TRUE, EXACT($W21, $C$5:$C$65),0)), "")</f>
        <v/>
      </c>
      <c r="Y21" s="108" t="str" cm="1">
        <f t="array" ref="Y21" xml:space="preserve"> IFERROR( INDEX($G$9:$G$65, MATCH(TRUE, EXACT($W21, $C$5:$C$65),0)), "")</f>
        <v/>
      </c>
      <c r="Z21" s="174" t="str" cm="1">
        <f t="array" ref="Z21" xml:space="preserve"> IFERROR( INDEX($F$5:$F$65, MATCH(TRUE, EXACT($W21, $C$5:$C$65),0)), "")</f>
        <v/>
      </c>
      <c r="AB21" s="98">
        <f t="shared" si="3"/>
        <v>17</v>
      </c>
      <c r="AC21" s="71"/>
      <c r="AD21" s="32"/>
      <c r="AE21" s="107"/>
      <c r="AF21" s="34"/>
      <c r="AQ21" s="195"/>
      <c r="AR21" s="166">
        <f t="shared" si="0"/>
        <v>18</v>
      </c>
      <c r="AS21" s="167" t="s">
        <v>43</v>
      </c>
      <c r="AT21" s="168" t="s">
        <v>445</v>
      </c>
      <c r="AU21" s="169" t="s">
        <v>453</v>
      </c>
      <c r="AV21" s="195"/>
    </row>
    <row r="22" spans="2:48">
      <c r="B22" s="177">
        <f t="shared" si="1"/>
        <v>18</v>
      </c>
      <c r="C22" s="71" t="s">
        <v>454</v>
      </c>
      <c r="D22" s="178" t="s">
        <v>455</v>
      </c>
      <c r="E22" s="32" t="s">
        <v>91</v>
      </c>
      <c r="F22" s="34" t="s">
        <v>456</v>
      </c>
      <c r="G22" s="107" t="s">
        <v>457</v>
      </c>
      <c r="H22" s="172" t="s">
        <v>458</v>
      </c>
      <c r="I22" s="34"/>
      <c r="J22" s="71"/>
      <c r="K22" s="107" t="str">
        <f t="shared" si="2"/>
        <v>["ㄑ"] = "ci-",</v>
      </c>
      <c r="L22" s="173"/>
      <c r="M22" s="173"/>
      <c r="N22" s="173"/>
      <c r="P22" s="77">
        <f t="shared" ref="P22" si="14">P21+1</f>
        <v>18</v>
      </c>
      <c r="Q22" s="71" t="s">
        <v>340</v>
      </c>
      <c r="R22" s="32" t="str" cm="1">
        <f t="array" ref="R22" xml:space="preserve"> IFERROR( INDEX($D$5:$D$65, MATCH(TRUE, EXACT($Q22, $C$5:$C$65),0)), "")</f>
        <v/>
      </c>
      <c r="S22" s="107" t="str" cm="1">
        <f t="array" ref="S22" xml:space="preserve"> IFERROR( INDEX($G$9:$G$65, MATCH(TRUE, EXACT($Q22, $C$5:$C$65),0)), "")</f>
        <v/>
      </c>
      <c r="T22" s="179" t="str" cm="1">
        <f t="array" ref="T22" xml:space="preserve"> IFERROR( INDEX($F$5:$F$65, MATCH(TRUE, EXACT($Q22, $C$5:$C$65),0)), "")</f>
        <v/>
      </c>
      <c r="V22" s="77">
        <f t="shared" ref="V22" si="15">V21+1</f>
        <v>18</v>
      </c>
      <c r="W22" s="71" t="s">
        <v>337</v>
      </c>
      <c r="X22" s="32" t="str" cm="1">
        <f t="array" ref="X22" xml:space="preserve"> IFERROR( INDEX($D$5:$D$65, MATCH(TRUE, EXACT($W22, $C$5:$C$65),0)), "")</f>
        <v/>
      </c>
      <c r="Y22" s="107" t="str" cm="1">
        <f t="array" ref="Y22" xml:space="preserve"> IFERROR( INDEX($G$9:$G$65, MATCH(TRUE, EXACT($W22, $C$5:$C$65),0)), "")</f>
        <v/>
      </c>
      <c r="Z22" s="179" t="str" cm="1">
        <f t="array" ref="Z22" xml:space="preserve"> IFERROR( INDEX($F$5:$F$65, MATCH(TRUE, EXACT($W22, $C$5:$C$65),0)), "")</f>
        <v/>
      </c>
      <c r="AB22" s="98">
        <f t="shared" si="3"/>
        <v>18</v>
      </c>
      <c r="AC22" s="71"/>
      <c r="AD22" s="32"/>
      <c r="AE22" s="107"/>
      <c r="AF22" s="34"/>
      <c r="AQ22" s="195"/>
      <c r="AR22" s="166">
        <f t="shared" si="0"/>
        <v>19</v>
      </c>
      <c r="AS22" s="167" t="s">
        <v>43</v>
      </c>
      <c r="AT22" s="168" t="s">
        <v>305</v>
      </c>
      <c r="AU22" s="169" t="s">
        <v>459</v>
      </c>
      <c r="AV22" s="195"/>
    </row>
    <row r="23" spans="2:48">
      <c r="B23" s="177">
        <f t="shared" si="1"/>
        <v>19</v>
      </c>
      <c r="C23" s="71" t="s">
        <v>571</v>
      </c>
      <c r="D23" s="178" t="s">
        <v>284</v>
      </c>
      <c r="E23" s="178" t="s">
        <v>284</v>
      </c>
      <c r="F23" s="34" t="s">
        <v>460</v>
      </c>
      <c r="G23" s="107" t="s">
        <v>461</v>
      </c>
      <c r="H23" s="172" t="s">
        <v>462</v>
      </c>
      <c r="I23" s="34"/>
      <c r="J23" s="71"/>
      <c r="K23" s="107" t="str">
        <f t="shared" si="2"/>
        <v>["ㄒ"] = "si-",</v>
      </c>
      <c r="L23" s="173"/>
      <c r="M23" s="173"/>
      <c r="N23" s="173"/>
      <c r="P23" s="77"/>
      <c r="Q23" s="71"/>
      <c r="R23" s="32"/>
      <c r="S23" s="107"/>
      <c r="T23" s="179"/>
      <c r="V23" s="77"/>
      <c r="W23" s="71"/>
      <c r="X23" s="32"/>
      <c r="Y23" s="107"/>
      <c r="Z23" s="179"/>
      <c r="AB23" s="98"/>
      <c r="AC23" s="71"/>
      <c r="AD23" s="32"/>
      <c r="AE23" s="107"/>
      <c r="AF23" s="34"/>
      <c r="AQ23" s="195"/>
      <c r="AR23" s="166"/>
      <c r="AS23" s="167"/>
      <c r="AT23" s="168"/>
      <c r="AU23" s="169"/>
      <c r="AV23" s="195"/>
    </row>
    <row r="24" spans="2:48">
      <c r="B24" s="182">
        <f t="shared" si="1"/>
        <v>20</v>
      </c>
      <c r="C24" s="73" t="s">
        <v>218</v>
      </c>
      <c r="D24" s="191" t="s">
        <v>441</v>
      </c>
      <c r="E24" s="42" t="s">
        <v>595</v>
      </c>
      <c r="F24" s="44" t="s">
        <v>368</v>
      </c>
      <c r="G24" s="105" t="s">
        <v>583</v>
      </c>
      <c r="H24" s="172" t="s">
        <v>584</v>
      </c>
      <c r="I24" s="44"/>
      <c r="J24" s="73"/>
      <c r="K24" s="107" t="str">
        <f t="shared" si="2"/>
        <v>["ㆢ"] = "ji-",</v>
      </c>
      <c r="L24" s="196"/>
      <c r="M24" s="196"/>
      <c r="N24" s="173"/>
      <c r="P24" s="77">
        <f>P22+1</f>
        <v>19</v>
      </c>
      <c r="Q24" s="71" t="s">
        <v>42</v>
      </c>
      <c r="R24" s="32" t="str" cm="1">
        <f t="array" ref="R24" xml:space="preserve"> IFERROR( INDEX($D$5:$D$65, MATCH(TRUE, EXACT($Q24, $C$5:$C$65),0)), "")</f>
        <v/>
      </c>
      <c r="S24" s="107" t="str" cm="1">
        <f t="array" ref="S24" xml:space="preserve"> IFERROR( INDEX($G$9:$G$65, MATCH(TRUE, EXACT($Q24, $C$5:$C$65),0)), "")</f>
        <v/>
      </c>
      <c r="T24" s="181" t="str" cm="1">
        <f t="array" ref="T24" xml:space="preserve"> IFERROR( INDEX($F$5:$F$65, MATCH(TRUE, EXACT($Q24, $C$5:$C$65),0)), "")</f>
        <v/>
      </c>
      <c r="V24" s="77">
        <f>V22+1</f>
        <v>19</v>
      </c>
      <c r="W24" s="71" t="s">
        <v>195</v>
      </c>
      <c r="X24" s="32" t="str" cm="1">
        <f t="array" ref="X24" xml:space="preserve"> IFERROR( INDEX($D$5:$D$65, MATCH(TRUE, EXACT($W24, $C$5:$C$65),0)), "")</f>
        <v/>
      </c>
      <c r="Y24" s="107" t="str" cm="1">
        <f t="array" ref="Y24" xml:space="preserve"> IFERROR( INDEX($G$9:$G$65, MATCH(TRUE, EXACT($W24, $C$5:$C$65),0)), "")</f>
        <v/>
      </c>
      <c r="Z24" s="181" t="str" cm="1">
        <f t="array" ref="Z24" xml:space="preserve"> IFERROR( INDEX($F$5:$F$65, MATCH(TRUE, EXACT($W24, $C$5:$C$65),0)), "")</f>
        <v/>
      </c>
      <c r="AB24" s="98">
        <f t="shared" si="3"/>
        <v>20</v>
      </c>
      <c r="AC24" s="71"/>
      <c r="AD24" s="32"/>
      <c r="AE24" s="107"/>
      <c r="AF24" s="117"/>
      <c r="AQ24" s="195"/>
      <c r="AR24" s="166">
        <f t="shared" si="0"/>
        <v>21</v>
      </c>
      <c r="AS24" s="167" t="s">
        <v>46</v>
      </c>
      <c r="AT24" s="168" t="s">
        <v>463</v>
      </c>
      <c r="AU24" s="169" t="s">
        <v>464</v>
      </c>
      <c r="AV24" s="195"/>
    </row>
    <row r="25" spans="2:48">
      <c r="B25" s="197">
        <f t="shared" si="1"/>
        <v>21</v>
      </c>
      <c r="C25" s="114" t="s">
        <v>305</v>
      </c>
      <c r="D25" s="83" t="s">
        <v>52</v>
      </c>
      <c r="E25" s="198" t="s">
        <v>52</v>
      </c>
      <c r="F25" s="199" t="s">
        <v>422</v>
      </c>
      <c r="G25" s="200" t="s">
        <v>422</v>
      </c>
      <c r="H25" s="185"/>
      <c r="I25" s="201"/>
      <c r="J25" s="109"/>
      <c r="K25" s="107" t="str">
        <f t="shared" si="2"/>
        <v>["ㄏ"] = "h",</v>
      </c>
      <c r="L25" s="202"/>
      <c r="M25" s="202"/>
      <c r="N25" s="173" t="str">
        <f xml:space="preserve"> "# " &amp; _xlfn.CONCAT(E26:E36)</f>
        <v># ㄧㆪㄨㆫㄚㆩㆤㆥㆦㆧㄜ</v>
      </c>
      <c r="P25" s="78">
        <f>P24+1</f>
        <v>20</v>
      </c>
      <c r="Q25" s="73" t="s">
        <v>28</v>
      </c>
      <c r="R25" s="42" t="str" cm="1">
        <f t="array" ref="R25" xml:space="preserve"> IFERROR( INDEX($D$5:$D$65, MATCH(TRUE, EXACT($Q25, $C$5:$C$65),0)), "")</f>
        <v>ㄖ</v>
      </c>
      <c r="S25" s="105" t="str" cm="1">
        <f t="array" ref="S25" xml:space="preserve"> IFERROR( INDEX($G$9:$G$65, MATCH(TRUE, EXACT($Q25, $C$5:$C$65),0)), "")</f>
        <v>ji-</v>
      </c>
      <c r="T25" s="187" t="str" cm="1">
        <f t="array" ref="T25" xml:space="preserve"> IFERROR( INDEX($F$5:$F$65, MATCH(TRUE, EXACT($Q25, $C$5:$C$65),0)), "")</f>
        <v>j</v>
      </c>
      <c r="V25" s="78">
        <f>V24+1</f>
        <v>20</v>
      </c>
      <c r="W25" s="73" t="s">
        <v>218</v>
      </c>
      <c r="X25" s="42" t="str" cm="1">
        <f t="array" ref="X25" xml:space="preserve"> IFERROR( INDEX($D$5:$D$65, MATCH(TRUE, EXACT($W25, $C$5:$C$65),0)), "")</f>
        <v>ㄖ</v>
      </c>
      <c r="Y25" s="105" t="str" cm="1">
        <f t="array" ref="Y25" xml:space="preserve"> IFERROR( INDEX($G$9:$G$65, MATCH(TRUE, EXACT($W25, $C$5:$C$65),0)), "")</f>
        <v>u</v>
      </c>
      <c r="Z25" s="187" t="str" cm="1">
        <f t="array" ref="Z25" xml:space="preserve"> IFERROR( INDEX($F$5:$F$65, MATCH(TRUE, EXACT($W25, $C$5:$C$65),0)), "")</f>
        <v>J</v>
      </c>
      <c r="AB25" s="98">
        <f t="shared" si="3"/>
        <v>21</v>
      </c>
      <c r="AC25" s="71"/>
      <c r="AD25" s="32"/>
      <c r="AE25" s="107"/>
      <c r="AF25" s="34"/>
      <c r="AQ25" s="195"/>
      <c r="AR25" s="166">
        <f t="shared" si="0"/>
        <v>22</v>
      </c>
      <c r="AS25" s="167" t="s">
        <v>50</v>
      </c>
      <c r="AT25" s="168" t="s">
        <v>338</v>
      </c>
      <c r="AU25" s="169" t="s">
        <v>465</v>
      </c>
      <c r="AV25" s="195"/>
    </row>
    <row r="26" spans="2:48">
      <c r="B26" s="170">
        <f t="shared" si="1"/>
        <v>22</v>
      </c>
      <c r="C26" s="109" t="s">
        <v>196</v>
      </c>
      <c r="D26" s="171" t="str">
        <f>E26</f>
        <v>ㄧ</v>
      </c>
      <c r="E26" s="26" t="s">
        <v>466</v>
      </c>
      <c r="F26" s="28" t="s">
        <v>279</v>
      </c>
      <c r="G26" s="108" t="s">
        <v>279</v>
      </c>
      <c r="H26" s="172"/>
      <c r="I26" s="28" t="str">
        <f>_xlfn.CONCAT(F26:F29)</f>
        <v>iIuU</v>
      </c>
      <c r="J26" s="109" t="str">
        <f xml:space="preserve"> _xlfn.CONCAT(C26:C29)</f>
        <v>uUjJ</v>
      </c>
      <c r="K26" s="107" t="str">
        <f t="shared" si="2"/>
        <v>["ㄧ"] = "i",</v>
      </c>
      <c r="L26" s="194" t="str">
        <f>_xlfn.CONCAT(F26:F36)</f>
        <v>iIuUaAeEOQo</v>
      </c>
      <c r="M26" s="194" t="str">
        <f>_xlfn.CONCAT(C26:C36)</f>
        <v>uUjJ8*,&lt;iIk</v>
      </c>
      <c r="N26" s="194" t="str">
        <f xml:space="preserve"> "- xlit|" &amp; L26 &amp; "|" &amp; M26 &amp; "|"</f>
        <v>- xlit|iIuUaAeEOQo|uUjJ8*,&lt;iIk|</v>
      </c>
      <c r="P26" s="87">
        <f>P25+1</f>
        <v>21</v>
      </c>
      <c r="Q26" s="109">
        <v>6</v>
      </c>
      <c r="R26" s="26" t="str" cm="1">
        <f t="array" ref="R26" xml:space="preserve"> IFERROR( INDEX($D$5:$D$65, MATCH(TRUE, EXACT($Q26, $C$5:$C$65),0)), "")</f>
        <v>ˇ</v>
      </c>
      <c r="S26" s="108" cm="1">
        <f t="array" ref="S26" xml:space="preserve"> IFERROR( INDEX($G$9:$G$65, MATCH(TRUE, EXACT($Q26, $C$5:$C$65),0)), "")</f>
        <v>0</v>
      </c>
      <c r="T26" s="174" cm="1">
        <f t="array" ref="T26" xml:space="preserve"> IFERROR( INDEX($F$5:$F$65, MATCH(TRUE, EXACT($Q26, $C$5:$C$65),0)), "")</f>
        <v>5</v>
      </c>
      <c r="V26" s="87">
        <f>V25+1</f>
        <v>21</v>
      </c>
      <c r="W26" s="188" t="s">
        <v>467</v>
      </c>
      <c r="X26" s="26" t="str" cm="1">
        <f t="array" ref="X26" xml:space="preserve"> IFERROR( INDEX($D$5:$D$65, MATCH(TRUE, EXACT($W26, $C$5:$C$65),0)), "")</f>
        <v/>
      </c>
      <c r="Y26" s="108" t="str" cm="1">
        <f t="array" ref="Y26" xml:space="preserve"> IFERROR( INDEX($G$9:$G$65, MATCH(TRUE, EXACT($W26, $C$5:$C$65),0)), "")</f>
        <v/>
      </c>
      <c r="Z26" s="174" t="str" cm="1">
        <f t="array" ref="Z26" xml:space="preserve"> IFERROR( INDEX($F$5:$F$65, MATCH(TRUE, EXACT($W26, $C$5:$C$65),0)), "")</f>
        <v/>
      </c>
      <c r="AB26" s="98">
        <f t="shared" si="3"/>
        <v>22</v>
      </c>
      <c r="AC26" s="71"/>
      <c r="AD26" s="32"/>
      <c r="AE26" s="107"/>
      <c r="AF26" s="34"/>
      <c r="AQ26" s="195"/>
      <c r="AR26" s="166">
        <f t="shared" si="0"/>
        <v>23</v>
      </c>
      <c r="AS26" s="167" t="s">
        <v>58</v>
      </c>
      <c r="AT26" s="203" t="s">
        <v>279</v>
      </c>
      <c r="AU26" s="169" t="s">
        <v>468</v>
      </c>
      <c r="AV26" s="195"/>
    </row>
    <row r="27" spans="2:48">
      <c r="B27" s="204">
        <f t="shared" si="1"/>
        <v>23</v>
      </c>
      <c r="C27" s="71" t="s">
        <v>259</v>
      </c>
      <c r="D27" s="178" t="str">
        <f xml:space="preserve"> "ㄥ" &amp; E26</f>
        <v>ㄥㄧ</v>
      </c>
      <c r="E27" s="32" t="s">
        <v>111</v>
      </c>
      <c r="F27" s="34" t="s">
        <v>239</v>
      </c>
      <c r="G27" s="107" t="s">
        <v>253</v>
      </c>
      <c r="H27" s="172"/>
      <c r="I27" s="34"/>
      <c r="J27" s="71"/>
      <c r="K27" s="107" t="str">
        <f t="shared" si="2"/>
        <v>["ㆪ"] = "Ni",</v>
      </c>
      <c r="L27" s="173"/>
      <c r="M27" s="173"/>
      <c r="N27" s="173"/>
      <c r="P27" s="77">
        <f t="shared" ref="P27:P29" si="16">P26+1</f>
        <v>22</v>
      </c>
      <c r="Q27" s="71" t="s">
        <v>370</v>
      </c>
      <c r="R27" s="32" t="str" cm="1">
        <f t="array" ref="R27" xml:space="preserve"> IFERROR( INDEX($D$5:$D$65, MATCH(TRUE, EXACT($Q27, $C$5:$C$65),0)), "")</f>
        <v>ㄗ</v>
      </c>
      <c r="S27" s="107" t="str" cm="1">
        <f t="array" ref="S27" xml:space="preserve"> IFERROR( INDEX($G$9:$G$65, MATCH(TRUE, EXACT($Q27, $C$5:$C$65),0)), "")</f>
        <v>zi-</v>
      </c>
      <c r="T27" s="179" t="str" cm="1">
        <f t="array" ref="T27" xml:space="preserve"> IFERROR( INDEX($F$5:$F$65, MATCH(TRUE, EXACT($Q27, $C$5:$C$65),0)), "")</f>
        <v>z</v>
      </c>
      <c r="V27" s="77">
        <f t="shared" ref="V27:V29" si="17">V26+1</f>
        <v>22</v>
      </c>
      <c r="W27" s="71" t="s">
        <v>374</v>
      </c>
      <c r="X27" s="32" t="str" cm="1">
        <f t="array" ref="X27" xml:space="preserve"> IFERROR( INDEX($D$5:$D$65, MATCH(TRUE, EXACT($W27, $C$5:$C$65),0)), "")</f>
        <v>ㄐ</v>
      </c>
      <c r="Y27" s="107" t="str" cm="1">
        <f t="array" ref="Y27" xml:space="preserve"> IFERROR( INDEX($G$9:$G$65, MATCH(TRUE, EXACT($W27, $C$5:$C$65),0)), "")</f>
        <v>h</v>
      </c>
      <c r="Z27" s="179" t="str" cm="1">
        <f t="array" ref="Z27" xml:space="preserve"> IFERROR( INDEX($F$5:$F$65, MATCH(TRUE, EXACT($W27, $C$5:$C$65),0)), "")</f>
        <v>Z</v>
      </c>
      <c r="AB27" s="98">
        <f t="shared" si="3"/>
        <v>23</v>
      </c>
      <c r="AC27" s="71"/>
      <c r="AD27" s="32"/>
      <c r="AE27" s="107"/>
      <c r="AF27" s="34"/>
      <c r="AQ27" s="195"/>
      <c r="AR27" s="166">
        <f t="shared" si="0"/>
        <v>24</v>
      </c>
      <c r="AS27" s="167" t="s">
        <v>20</v>
      </c>
      <c r="AT27" s="203" t="s">
        <v>196</v>
      </c>
      <c r="AU27" s="169" t="s">
        <v>469</v>
      </c>
      <c r="AV27" s="195"/>
    </row>
    <row r="28" spans="2:48">
      <c r="B28" s="204">
        <f t="shared" si="1"/>
        <v>24</v>
      </c>
      <c r="C28" s="71" t="s">
        <v>254</v>
      </c>
      <c r="D28" s="178" t="str">
        <f>E28</f>
        <v>ㄨ</v>
      </c>
      <c r="E28" s="32" t="s">
        <v>56</v>
      </c>
      <c r="F28" s="34" t="s">
        <v>196</v>
      </c>
      <c r="G28" s="107" t="s">
        <v>196</v>
      </c>
      <c r="H28" s="172"/>
      <c r="I28" s="34"/>
      <c r="J28" s="71"/>
      <c r="K28" s="107" t="str">
        <f t="shared" si="2"/>
        <v>["ㄨ"] = "u",</v>
      </c>
      <c r="L28" s="173"/>
      <c r="M28" s="173"/>
      <c r="N28" s="173"/>
      <c r="P28" s="77">
        <f t="shared" si="16"/>
        <v>23</v>
      </c>
      <c r="Q28" s="71" t="s">
        <v>53</v>
      </c>
      <c r="R28" s="32" t="str" cm="1">
        <f t="array" ref="R28" xml:space="preserve"> IFERROR( INDEX($D$5:$D$65, MATCH(TRUE, EXACT($Q28, $C$5:$C$65),0)), "")</f>
        <v>ㄘ</v>
      </c>
      <c r="S28" s="107" t="str" cm="1">
        <f t="array" ref="S28" xml:space="preserve"> IFERROR( INDEX($G$9:$G$65, MATCH(TRUE, EXACT($Q28, $C$5:$C$65),0)), "")</f>
        <v>ci-</v>
      </c>
      <c r="T28" s="181" t="str" cm="1">
        <f t="array" ref="T28" xml:space="preserve"> IFERROR( INDEX($F$5:$F$65, MATCH(TRUE, EXACT($Q28, $C$5:$C$65),0)), "")</f>
        <v>c</v>
      </c>
      <c r="V28" s="77">
        <f t="shared" si="17"/>
        <v>23</v>
      </c>
      <c r="W28" s="71" t="s">
        <v>375</v>
      </c>
      <c r="X28" s="32" t="str" cm="1">
        <f t="array" ref="X28" xml:space="preserve"> IFERROR( INDEX($D$5:$D$65, MATCH(TRUE, EXACT($W28, $C$5:$C$65),0)), "")</f>
        <v>ㄑ</v>
      </c>
      <c r="Y28" s="107" t="str" cm="1">
        <f t="array" ref="Y28" xml:space="preserve"> IFERROR( INDEX($G$9:$G$65, MATCH(TRUE, EXACT($W28, $C$5:$C$65),0)), "")</f>
        <v>i</v>
      </c>
      <c r="Z28" s="181" t="str" cm="1">
        <f t="array" ref="Z28" xml:space="preserve"> IFERROR( INDEX($F$5:$F$65, MATCH(TRUE, EXACT($W28, $C$5:$C$65),0)), "")</f>
        <v>C</v>
      </c>
      <c r="AB28" s="98">
        <f t="shared" si="3"/>
        <v>24</v>
      </c>
      <c r="AC28" s="71"/>
      <c r="AD28" s="32"/>
      <c r="AE28" s="107"/>
      <c r="AF28" s="117"/>
      <c r="AQ28" s="195"/>
      <c r="AR28" s="166">
        <f t="shared" si="0"/>
        <v>25</v>
      </c>
      <c r="AS28" s="167" t="s">
        <v>67</v>
      </c>
      <c r="AT28" s="203" t="s">
        <v>143</v>
      </c>
      <c r="AU28" s="169" t="s">
        <v>470</v>
      </c>
      <c r="AV28" s="195"/>
    </row>
    <row r="29" spans="2:48">
      <c r="B29" s="204">
        <f t="shared" si="1"/>
        <v>25</v>
      </c>
      <c r="C29" s="71" t="s">
        <v>249</v>
      </c>
      <c r="D29" s="178" t="str">
        <f xml:space="preserve"> "ㄥ" &amp; E28</f>
        <v>ㄥㄨ</v>
      </c>
      <c r="E29" s="32" t="s">
        <v>113</v>
      </c>
      <c r="F29" s="34" t="s">
        <v>230</v>
      </c>
      <c r="G29" s="107" t="s">
        <v>245</v>
      </c>
      <c r="H29" s="172"/>
      <c r="I29" s="34"/>
      <c r="J29" s="71"/>
      <c r="K29" s="107" t="str">
        <f t="shared" si="2"/>
        <v>["ㆫ"] = "Nu",</v>
      </c>
      <c r="L29" s="173"/>
      <c r="M29" s="173"/>
      <c r="N29" s="173"/>
      <c r="P29" s="78">
        <f t="shared" si="16"/>
        <v>24</v>
      </c>
      <c r="Q29" s="73" t="s">
        <v>372</v>
      </c>
      <c r="R29" s="42" t="str" cm="1">
        <f t="array" ref="R29" xml:space="preserve"> IFERROR( INDEX($D$5:$D$65, MATCH(TRUE, EXACT($Q29, $C$5:$C$65),0)), "")</f>
        <v>ㄙ</v>
      </c>
      <c r="S29" s="105" t="str" cm="1">
        <f t="array" ref="S29" xml:space="preserve"> IFERROR( INDEX($G$9:$G$65, MATCH(TRUE, EXACT($Q29, $C$5:$C$65),0)), "")</f>
        <v>si-</v>
      </c>
      <c r="T29" s="187" t="str" cm="1">
        <f t="array" ref="T29" xml:space="preserve"> IFERROR( INDEX($F$5:$F$65, MATCH(TRUE, EXACT($Q29, $C$5:$C$65),0)), "")</f>
        <v>s</v>
      </c>
      <c r="V29" s="78">
        <f t="shared" si="17"/>
        <v>24</v>
      </c>
      <c r="W29" s="73" t="s">
        <v>26</v>
      </c>
      <c r="X29" s="42" t="str" cm="1">
        <f t="array" ref="X29" xml:space="preserve"> IFERROR( INDEX($D$5:$D$65, MATCH(TRUE, EXACT($W29, $C$5:$C$65),0)), "")</f>
        <v>ㄒ</v>
      </c>
      <c r="Y29" s="105" t="str" cm="1">
        <f t="array" ref="Y29" xml:space="preserve"> IFERROR( INDEX($G$9:$G$65, MATCH(TRUE, EXACT($W29, $C$5:$C$65),0)), "")</f>
        <v>Ni</v>
      </c>
      <c r="Z29" s="187" t="str" cm="1">
        <f t="array" ref="Z29" xml:space="preserve"> IFERROR( INDEX($F$5:$F$65, MATCH(TRUE, EXACT($W29, $C$5:$C$65),0)), "")</f>
        <v>S</v>
      </c>
      <c r="AB29" s="98">
        <f t="shared" si="3"/>
        <v>25</v>
      </c>
      <c r="AC29" s="71"/>
      <c r="AD29" s="32"/>
      <c r="AE29" s="107"/>
      <c r="AF29" s="34"/>
      <c r="AQ29" s="195"/>
      <c r="AR29" s="166">
        <f t="shared" si="0"/>
        <v>26</v>
      </c>
      <c r="AS29" s="167" t="s">
        <v>67</v>
      </c>
      <c r="AT29" s="203" t="s">
        <v>351</v>
      </c>
      <c r="AU29" s="169" t="s">
        <v>471</v>
      </c>
      <c r="AV29" s="195"/>
    </row>
    <row r="30" spans="2:48">
      <c r="B30" s="204">
        <f t="shared" si="1"/>
        <v>26</v>
      </c>
      <c r="C30" s="71">
        <v>8</v>
      </c>
      <c r="D30" s="178" t="str">
        <f>E30</f>
        <v>ㄚ</v>
      </c>
      <c r="E30" s="32" t="s">
        <v>359</v>
      </c>
      <c r="F30" s="34" t="s">
        <v>351</v>
      </c>
      <c r="G30" s="107" t="s">
        <v>351</v>
      </c>
      <c r="H30" s="172"/>
      <c r="I30" s="34" t="str">
        <f>_xlfn.CONCAT(F30:F36)</f>
        <v>aAeEOQo</v>
      </c>
      <c r="J30" s="71" t="str">
        <f xml:space="preserve"> _xlfn.CONCAT(C30:C36)</f>
        <v>8*,&lt;iIk</v>
      </c>
      <c r="K30" s="107" t="str">
        <f t="shared" si="2"/>
        <v>["ㄚ"] = "a",</v>
      </c>
      <c r="L30" s="173"/>
      <c r="M30" s="173"/>
      <c r="N30" s="173"/>
      <c r="P30" s="87">
        <f>P29+1</f>
        <v>25</v>
      </c>
      <c r="Q30" s="109">
        <v>7</v>
      </c>
      <c r="R30" s="26" t="str" cm="1">
        <f t="array" ref="R30" xml:space="preserve"> IFERROR( INDEX($D$5:$D$65, MATCH(TRUE, EXACT($Q30, $C$5:$C$65),0)), "")</f>
        <v>ˊ</v>
      </c>
      <c r="S30" s="108" cm="1">
        <f t="array" ref="S30" xml:space="preserve"> IFERROR( INDEX($G$9:$G$65, MATCH(TRUE, EXACT($Q30, $C$5:$C$65),0)), "")</f>
        <v>0</v>
      </c>
      <c r="T30" s="174" cm="1">
        <f t="array" ref="T30" xml:space="preserve"> IFERROR( INDEX($F$5:$F$65, MATCH(TRUE, EXACT($Q30, $C$5:$C$65),0)), "")</f>
        <v>0</v>
      </c>
      <c r="V30" s="87">
        <f>V29+1</f>
        <v>25</v>
      </c>
      <c r="W30" s="188" t="s">
        <v>472</v>
      </c>
      <c r="X30" s="26" t="str" cm="1">
        <f t="array" ref="X30" xml:space="preserve"> IFERROR( INDEX($D$5:$D$65, MATCH(TRUE, EXACT($W30, $C$5:$C$65),0)), "")</f>
        <v/>
      </c>
      <c r="Y30" s="108" t="str" cm="1">
        <f t="array" ref="Y30" xml:space="preserve"> IFERROR( INDEX($G$9:$G$65, MATCH(TRUE, EXACT($W30, $C$5:$C$65),0)), "")</f>
        <v/>
      </c>
      <c r="Z30" s="174" t="str" cm="1">
        <f t="array" ref="Z30" xml:space="preserve"> IFERROR( INDEX($F$5:$F$65, MATCH(TRUE, EXACT($W30, $C$5:$C$65),0)), "")</f>
        <v/>
      </c>
      <c r="AB30" s="98">
        <f t="shared" si="3"/>
        <v>26</v>
      </c>
      <c r="AC30" s="71"/>
      <c r="AD30" s="32"/>
      <c r="AE30" s="107"/>
      <c r="AF30" s="34"/>
      <c r="AQ30" s="195"/>
      <c r="AR30" s="166">
        <f t="shared" si="0"/>
        <v>27</v>
      </c>
      <c r="AS30" s="167" t="s">
        <v>473</v>
      </c>
      <c r="AT30" s="203" t="s">
        <v>346</v>
      </c>
      <c r="AU30" s="169" t="s">
        <v>474</v>
      </c>
      <c r="AV30" s="195"/>
    </row>
    <row r="31" spans="2:48">
      <c r="B31" s="204">
        <f t="shared" si="1"/>
        <v>27</v>
      </c>
      <c r="C31" s="71" t="s">
        <v>281</v>
      </c>
      <c r="D31" s="178" t="str">
        <f xml:space="preserve"> "ㄥ" &amp; E30</f>
        <v>ㄥㄚ</v>
      </c>
      <c r="E31" s="32" t="s">
        <v>115</v>
      </c>
      <c r="F31" s="34" t="s">
        <v>401</v>
      </c>
      <c r="G31" s="107" t="s">
        <v>278</v>
      </c>
      <c r="H31" s="172"/>
      <c r="I31" s="34"/>
      <c r="J31" s="71"/>
      <c r="K31" s="107" t="str">
        <f t="shared" si="2"/>
        <v>["ㆩ"] = "Na",</v>
      </c>
      <c r="L31" s="173"/>
      <c r="M31" s="173"/>
      <c r="N31" s="173"/>
      <c r="P31" s="77">
        <f t="shared" ref="P31:P36" si="18">P30+1</f>
        <v>26</v>
      </c>
      <c r="Q31" s="71" t="s">
        <v>57</v>
      </c>
      <c r="R31" s="32" t="str" cm="1">
        <f t="array" ref="R31" xml:space="preserve"> IFERROR( INDEX($D$5:$D$65, MATCH(TRUE, EXACT($Q31, $C$5:$C$65),0)), "")</f>
        <v>ㄧ</v>
      </c>
      <c r="S31" s="107" t="str" cm="1">
        <f t="array" ref="S31" xml:space="preserve"> IFERROR( INDEX($G$9:$G$65, MATCH(TRUE, EXACT($Q31, $C$5:$C$65),0)), "")</f>
        <v>a</v>
      </c>
      <c r="T31" s="179" t="str" cm="1">
        <f t="array" ref="T31" xml:space="preserve"> IFERROR( INDEX($F$5:$F$65, MATCH(TRUE, EXACT($Q31, $C$5:$C$65),0)), "")</f>
        <v>i</v>
      </c>
      <c r="V31" s="77">
        <f t="shared" ref="V31:V36" si="19">V30+1</f>
        <v>26</v>
      </c>
      <c r="W31" s="71" t="s">
        <v>230</v>
      </c>
      <c r="X31" s="32" t="str" cm="1">
        <f t="array" ref="X31" xml:space="preserve"> IFERROR( INDEX($D$5:$D$65, MATCH(TRUE, EXACT($W31, $C$5:$C$65),0)), "")</f>
        <v>ㄥㄧ</v>
      </c>
      <c r="Y31" s="107" t="str" cm="1">
        <f t="array" ref="Y31" xml:space="preserve"> IFERROR( INDEX($G$9:$G$65, MATCH(TRUE, EXACT($W31, $C$5:$C$65),0)), "")</f>
        <v>Na</v>
      </c>
      <c r="Z31" s="179" t="str" cm="1">
        <f t="array" ref="Z31" xml:space="preserve"> IFERROR( INDEX($F$5:$F$65, MATCH(TRUE, EXACT($W31, $C$5:$C$65),0)), "")</f>
        <v>I</v>
      </c>
      <c r="AB31" s="98">
        <f t="shared" si="3"/>
        <v>27</v>
      </c>
      <c r="AC31" s="71"/>
      <c r="AD31" s="32"/>
      <c r="AE31" s="107"/>
      <c r="AF31" s="34"/>
      <c r="AQ31" s="195"/>
      <c r="AR31" s="166">
        <f t="shared" si="0"/>
        <v>28</v>
      </c>
      <c r="AS31" s="167" t="s">
        <v>61</v>
      </c>
      <c r="AT31" s="203" t="s">
        <v>65</v>
      </c>
      <c r="AU31" s="169" t="s">
        <v>475</v>
      </c>
      <c r="AV31" s="195"/>
    </row>
    <row r="32" spans="2:48">
      <c r="B32" s="204">
        <f t="shared" si="1"/>
        <v>28</v>
      </c>
      <c r="C32" s="205" t="s">
        <v>476</v>
      </c>
      <c r="D32" s="178" t="s">
        <v>477</v>
      </c>
      <c r="E32" s="32" t="s">
        <v>478</v>
      </c>
      <c r="F32" s="34" t="s">
        <v>329</v>
      </c>
      <c r="G32" s="107" t="s">
        <v>329</v>
      </c>
      <c r="H32" s="172"/>
      <c r="I32" s="34"/>
      <c r="J32" s="205"/>
      <c r="K32" s="107" t="str">
        <f t="shared" si="2"/>
        <v>["ㆤ"] = "e",</v>
      </c>
      <c r="L32" s="173"/>
      <c r="M32" s="173"/>
      <c r="N32" s="173"/>
      <c r="P32" s="77">
        <f t="shared" si="18"/>
        <v>27</v>
      </c>
      <c r="Q32" s="71" t="s">
        <v>49</v>
      </c>
      <c r="R32" s="32" t="str" cm="1">
        <f t="array" ref="R32" xml:space="preserve"> IFERROR( INDEX($D$5:$D$65, MATCH(TRUE, EXACT($Q32, $C$5:$C$65),0)), "")</f>
        <v>ㄨ</v>
      </c>
      <c r="S32" s="107" t="str" cm="1">
        <f t="array" ref="S32" xml:space="preserve"> IFERROR( INDEX($G$9:$G$65, MATCH(TRUE, EXACT($Q32, $C$5:$C$65),0)), "")</f>
        <v>e</v>
      </c>
      <c r="T32" s="181" t="str" cm="1">
        <f t="array" ref="T32" xml:space="preserve"> IFERROR( INDEX($F$5:$F$65, MATCH(TRUE, EXACT($Q32, $C$5:$C$65),0)), "")</f>
        <v>u</v>
      </c>
      <c r="V32" s="77">
        <f t="shared" si="19"/>
        <v>27</v>
      </c>
      <c r="W32" s="71" t="s">
        <v>368</v>
      </c>
      <c r="X32" s="32" t="str" cm="1">
        <f t="array" ref="X32" xml:space="preserve"> IFERROR( INDEX($D$5:$D$65, MATCH(TRUE, EXACT($W32, $C$5:$C$65),0)), "")</f>
        <v>ㄥㄨ</v>
      </c>
      <c r="Y32" s="107" t="str" cm="1">
        <f t="array" ref="Y32" xml:space="preserve"> IFERROR( INDEX($G$9:$G$65, MATCH(TRUE, EXACT($W32, $C$5:$C$65),0)), "")</f>
        <v>Ne</v>
      </c>
      <c r="Z32" s="181" t="str" cm="1">
        <f t="array" ref="Z32" xml:space="preserve"> IFERROR( INDEX($F$5:$F$65, MATCH(TRUE, EXACT($W32, $C$5:$C$65),0)), "")</f>
        <v>U</v>
      </c>
      <c r="AB32" s="98">
        <f t="shared" si="3"/>
        <v>28</v>
      </c>
      <c r="AC32" s="71"/>
      <c r="AD32" s="32"/>
      <c r="AE32" s="107"/>
      <c r="AF32" s="117"/>
      <c r="AQ32" s="195"/>
      <c r="AR32" s="166">
        <f t="shared" si="0"/>
        <v>29</v>
      </c>
      <c r="AS32" s="167" t="s">
        <v>61</v>
      </c>
      <c r="AT32" s="203" t="s">
        <v>330</v>
      </c>
      <c r="AU32" s="169" t="s">
        <v>479</v>
      </c>
      <c r="AV32" s="195"/>
    </row>
    <row r="33" spans="2:48">
      <c r="B33" s="204">
        <f t="shared" si="1"/>
        <v>29</v>
      </c>
      <c r="C33" s="205" t="s">
        <v>223</v>
      </c>
      <c r="D33" s="178" t="s">
        <v>480</v>
      </c>
      <c r="E33" s="32" t="s">
        <v>119</v>
      </c>
      <c r="F33" s="34" t="s">
        <v>322</v>
      </c>
      <c r="G33" s="107" t="s">
        <v>263</v>
      </c>
      <c r="H33" s="172"/>
      <c r="I33" s="34"/>
      <c r="J33" s="205"/>
      <c r="K33" s="107" t="str">
        <f t="shared" si="2"/>
        <v>["ㆥ"] = "Ne",</v>
      </c>
      <c r="L33" s="173"/>
      <c r="M33" s="173"/>
      <c r="N33" s="173"/>
      <c r="P33" s="78">
        <f t="shared" si="18"/>
        <v>28</v>
      </c>
      <c r="Q33" s="73" t="s">
        <v>84</v>
      </c>
      <c r="R33" s="42" t="str" cm="1">
        <f t="array" ref="R33" xml:space="preserve"> IFERROR( INDEX($D$5:$D$65, MATCH(TRUE, EXACT($Q33, $C$5:$C$65),0)), "")</f>
        <v>ㄇ</v>
      </c>
      <c r="S33" s="105" cm="1">
        <f t="array" ref="S33" xml:space="preserve"> IFERROR( INDEX($G$9:$G$65, MATCH(TRUE, EXACT($Q33, $C$5:$C$65),0)), "")</f>
        <v>2</v>
      </c>
      <c r="T33" s="187" t="str" cm="1">
        <f t="array" ref="T33" xml:space="preserve"> IFERROR( INDEX($F$5:$F$65, MATCH(TRUE, EXACT($Q33, $C$5:$C$65),0)), "")</f>
        <v>M</v>
      </c>
      <c r="V33" s="78">
        <f t="shared" si="19"/>
        <v>28</v>
      </c>
      <c r="W33" s="73" t="s">
        <v>481</v>
      </c>
      <c r="X33" s="42" t="str" cm="1">
        <f t="array" ref="X33" xml:space="preserve"> IFERROR( INDEX($D$5:$D$65, MATCH(TRUE, EXACT($W33, $C$5:$C$65),0)), "")</f>
        <v/>
      </c>
      <c r="Y33" s="105" t="str" cm="1">
        <f t="array" ref="Y33" xml:space="preserve"> IFERROR( INDEX($G$9:$G$65, MATCH(TRUE, EXACT($W33, $C$5:$C$65),0)), "")</f>
        <v/>
      </c>
      <c r="Z33" s="187" t="str" cm="1">
        <f t="array" ref="Z33" xml:space="preserve"> IFERROR( INDEX($F$5:$F$65, MATCH(TRUE, EXACT($W33, $C$5:$C$65),0)), "")</f>
        <v/>
      </c>
      <c r="AB33" s="98">
        <f t="shared" si="3"/>
        <v>29</v>
      </c>
      <c r="AC33" s="71"/>
      <c r="AD33" s="32"/>
      <c r="AE33" s="107"/>
      <c r="AF33" s="34"/>
      <c r="AQ33" s="195"/>
      <c r="AR33" s="166">
        <f t="shared" si="0"/>
        <v>30</v>
      </c>
      <c r="AS33" s="167" t="s">
        <v>241</v>
      </c>
      <c r="AT33" s="203" t="s">
        <v>329</v>
      </c>
      <c r="AU33" s="169" t="s">
        <v>482</v>
      </c>
      <c r="AV33" s="195"/>
    </row>
    <row r="34" spans="2:48">
      <c r="B34" s="204">
        <f t="shared" si="1"/>
        <v>30</v>
      </c>
      <c r="C34" s="71" t="s">
        <v>279</v>
      </c>
      <c r="D34" s="178" t="s">
        <v>483</v>
      </c>
      <c r="E34" s="32" t="s">
        <v>336</v>
      </c>
      <c r="F34" s="34" t="s">
        <v>267</v>
      </c>
      <c r="G34" s="107" t="s">
        <v>346</v>
      </c>
      <c r="H34" s="172"/>
      <c r="I34" s="34"/>
      <c r="J34" s="71"/>
      <c r="K34" s="107" t="str">
        <f t="shared" si="2"/>
        <v>["ㆦ"] = "oo",</v>
      </c>
      <c r="L34" s="173"/>
      <c r="M34" s="173"/>
      <c r="N34" s="173"/>
      <c r="P34" s="87">
        <f t="shared" si="18"/>
        <v>29</v>
      </c>
      <c r="Q34" s="109">
        <v>8</v>
      </c>
      <c r="R34" s="26" t="str" cm="1">
        <f t="array" ref="R34" xml:space="preserve"> IFERROR( INDEX($D$5:$D$65, MATCH(TRUE, EXACT($Q34, $C$5:$C$65),0)), "")</f>
        <v>ㄚ</v>
      </c>
      <c r="S34" s="108" t="str" cm="1">
        <f t="array" ref="S34" xml:space="preserve"> IFERROR( INDEX($G$9:$G$65, MATCH(TRUE, EXACT($Q34, $C$5:$C$65),0)), "")</f>
        <v>oo</v>
      </c>
      <c r="T34" s="174" t="str" cm="1">
        <f t="array" ref="T34" xml:space="preserve"> IFERROR( INDEX($F$5:$F$65, MATCH(TRUE, EXACT($Q34, $C$5:$C$65),0)), "")</f>
        <v>a</v>
      </c>
      <c r="V34" s="87">
        <f t="shared" si="19"/>
        <v>29</v>
      </c>
      <c r="W34" s="188" t="s">
        <v>484</v>
      </c>
      <c r="X34" s="26" t="str" cm="1">
        <f t="array" ref="X34" xml:space="preserve"> IFERROR( INDEX($D$5:$D$65, MATCH(TRUE, EXACT($W34, $C$5:$C$65),0)), "")</f>
        <v>ㄥㄚ</v>
      </c>
      <c r="Y34" s="108" t="str" cm="1">
        <f t="array" ref="Y34" xml:space="preserve"> IFERROR( INDEX($G$9:$G$65, MATCH(TRUE, EXACT($W34, $C$5:$C$65),0)), "")</f>
        <v>Noo</v>
      </c>
      <c r="Z34" s="174" t="str" cm="1">
        <f t="array" ref="Z34" xml:space="preserve"> IFERROR( INDEX($F$5:$F$65, MATCH(TRUE, EXACT($W34, $C$5:$C$65),0)), "")</f>
        <v>A</v>
      </c>
      <c r="AB34" s="98">
        <f t="shared" si="3"/>
        <v>30</v>
      </c>
      <c r="AC34" s="206"/>
      <c r="AD34" s="207"/>
      <c r="AE34" s="208"/>
      <c r="AF34" s="209"/>
      <c r="AQ34" s="195"/>
      <c r="AR34" s="166">
        <f t="shared" si="0"/>
        <v>31</v>
      </c>
      <c r="AS34" s="167" t="s">
        <v>117</v>
      </c>
      <c r="AT34" s="203" t="s">
        <v>326</v>
      </c>
      <c r="AU34" s="169" t="s">
        <v>485</v>
      </c>
      <c r="AV34" s="195"/>
    </row>
    <row r="35" spans="2:48">
      <c r="B35" s="204">
        <f t="shared" si="1"/>
        <v>31</v>
      </c>
      <c r="C35" s="71" t="s">
        <v>275</v>
      </c>
      <c r="D35" s="178" t="str">
        <f xml:space="preserve"> "ㄥ" &amp; E34</f>
        <v>ㄥㆦ</v>
      </c>
      <c r="E35" s="32" t="s">
        <v>121</v>
      </c>
      <c r="F35" s="34" t="s">
        <v>397</v>
      </c>
      <c r="G35" s="107" t="s">
        <v>486</v>
      </c>
      <c r="H35" s="172"/>
      <c r="I35" s="34"/>
      <c r="J35" s="71"/>
      <c r="K35" s="107" t="str">
        <f t="shared" si="2"/>
        <v>["ㆧ"] = "Noo",</v>
      </c>
      <c r="L35" s="173"/>
      <c r="M35" s="173"/>
      <c r="N35" s="173"/>
      <c r="P35" s="77">
        <f t="shared" si="18"/>
        <v>30</v>
      </c>
      <c r="Q35" s="71" t="s">
        <v>55</v>
      </c>
      <c r="R35" s="32" t="str" cm="1">
        <f t="array" ref="R35" xml:space="preserve"> IFERROR( INDEX($D$5:$D$65, MATCH(TRUE, EXACT($Q35, $C$5:$C$65),0)), "")</f>
        <v>ㄛ</v>
      </c>
      <c r="S35" s="107" t="str" cm="1">
        <f t="array" ref="S35" xml:space="preserve"> IFERROR( INDEX($G$9:$G$65, MATCH(TRUE, EXACT($Q35, $C$5:$C$65),0)), "")</f>
        <v>ai</v>
      </c>
      <c r="T35" s="179" t="str" cm="1">
        <f t="array" ref="T35" xml:space="preserve"> IFERROR( INDEX($F$5:$F$65, MATCH(TRUE, EXACT($Q35, $C$5:$C$65),0)), "")</f>
        <v>O</v>
      </c>
      <c r="V35" s="77">
        <f t="shared" si="19"/>
        <v>30</v>
      </c>
      <c r="W35" s="71" t="s">
        <v>239</v>
      </c>
      <c r="X35" s="32" t="str" cm="1">
        <f t="array" ref="X35" xml:space="preserve"> IFERROR( INDEX($D$5:$D$65, MATCH(TRUE, EXACT($W35, $C$5:$C$65),0)), "")</f>
        <v>ㄥㆦ</v>
      </c>
      <c r="Y35" s="107" t="str" cm="1">
        <f t="array" ref="Y35" xml:space="preserve"> IFERROR( INDEX($G$9:$G$65, MATCH(TRUE, EXACT($W35, $C$5:$C$65),0)), "")</f>
        <v>Nai</v>
      </c>
      <c r="Z35" s="179" t="str" cm="1">
        <f t="array" ref="Z35" xml:space="preserve"> IFERROR( INDEX($F$5:$F$65, MATCH(TRUE, EXACT($W35, $C$5:$C$65),0)), "")</f>
        <v>Q</v>
      </c>
      <c r="AB35" s="98">
        <f t="shared" si="3"/>
        <v>31</v>
      </c>
      <c r="AC35" s="210"/>
      <c r="AD35" s="207"/>
      <c r="AE35" s="208"/>
      <c r="AF35" s="209"/>
      <c r="AQ35" s="195"/>
      <c r="AR35" s="166">
        <f t="shared" si="0"/>
        <v>32</v>
      </c>
      <c r="AS35" s="167" t="s">
        <v>72</v>
      </c>
      <c r="AT35" s="203" t="s">
        <v>160</v>
      </c>
      <c r="AU35" s="169" t="s">
        <v>487</v>
      </c>
      <c r="AV35" s="195"/>
    </row>
    <row r="36" spans="2:48">
      <c r="B36" s="211">
        <f t="shared" si="1"/>
        <v>32</v>
      </c>
      <c r="C36" s="73" t="s">
        <v>37</v>
      </c>
      <c r="D36" s="183" t="str">
        <f>E36</f>
        <v>ㄜ</v>
      </c>
      <c r="E36" s="42" t="s">
        <v>64</v>
      </c>
      <c r="F36" s="44" t="s">
        <v>65</v>
      </c>
      <c r="G36" s="105" t="s">
        <v>65</v>
      </c>
      <c r="H36" s="172"/>
      <c r="I36" s="44"/>
      <c r="J36" s="73"/>
      <c r="K36" s="107" t="str">
        <f t="shared" si="2"/>
        <v>["ㄜ"] = "o",</v>
      </c>
      <c r="L36" s="196"/>
      <c r="M36" s="196"/>
      <c r="N36" s="173" t="str">
        <f xml:space="preserve"> "# " &amp; _xlfn.CONCAT(E37:E41)</f>
        <v># ㄢㄞㆮㄠㆯ</v>
      </c>
      <c r="P36" s="77">
        <f t="shared" si="18"/>
        <v>31</v>
      </c>
      <c r="Q36" s="71" t="s">
        <v>321</v>
      </c>
      <c r="R36" s="32" t="str" cm="1">
        <f t="array" ref="R36" xml:space="preserve"> IFERROR( INDEX($D$5:$D$65, MATCH(TRUE, EXACT($Q36, $C$5:$C$65),0)), "")</f>
        <v>ㄜ</v>
      </c>
      <c r="S36" s="107" t="str" cm="1">
        <f t="array" ref="S36" xml:space="preserve"> IFERROR( INDEX($G$9:$G$65, MATCH(TRUE, EXACT($Q36, $C$5:$C$65),0)), "")</f>
        <v>au</v>
      </c>
      <c r="T36" s="181" t="str" cm="1">
        <f t="array" ref="T36" xml:space="preserve"> IFERROR( INDEX($F$5:$F$65, MATCH(TRUE, EXACT($Q36, $C$5:$C$65),0)), "")</f>
        <v>o</v>
      </c>
      <c r="V36" s="77">
        <f t="shared" si="19"/>
        <v>31</v>
      </c>
      <c r="W36" s="71" t="s">
        <v>316</v>
      </c>
      <c r="X36" s="32" t="str" cm="1">
        <f t="array" ref="X36" xml:space="preserve"> IFERROR( INDEX($D$5:$D$65, MATCH(TRUE, EXACT($W36, $C$5:$C$65),0)), "")</f>
        <v/>
      </c>
      <c r="Y36" s="107" t="str" cm="1">
        <f t="array" ref="Y36" xml:space="preserve"> IFERROR( INDEX($G$9:$G$65, MATCH(TRUE, EXACT($W36, $C$5:$C$65),0)), "")</f>
        <v/>
      </c>
      <c r="Z36" s="181" t="str" cm="1">
        <f t="array" ref="Z36" xml:space="preserve"> IFERROR( INDEX($F$5:$F$65, MATCH(TRUE, EXACT($W36, $C$5:$C$65),0)), "")</f>
        <v/>
      </c>
      <c r="AB36" s="98">
        <f t="shared" si="3"/>
        <v>32</v>
      </c>
      <c r="AC36" s="206"/>
      <c r="AD36" s="207"/>
      <c r="AE36" s="208"/>
      <c r="AF36" s="209"/>
      <c r="AQ36" s="195"/>
      <c r="AR36" s="166">
        <f t="shared" si="0"/>
        <v>33</v>
      </c>
      <c r="AS36" s="167" t="s">
        <v>72</v>
      </c>
      <c r="AT36" s="203" t="s">
        <v>177</v>
      </c>
      <c r="AU36" s="169" t="s">
        <v>488</v>
      </c>
      <c r="AV36" s="195"/>
    </row>
    <row r="37" spans="2:48">
      <c r="B37" s="204">
        <f t="shared" si="1"/>
        <v>33</v>
      </c>
      <c r="C37" s="71">
        <v>0</v>
      </c>
      <c r="D37" s="178" t="str">
        <f>E37</f>
        <v>ㄢ</v>
      </c>
      <c r="E37" s="32" t="s">
        <v>97</v>
      </c>
      <c r="F37" s="34" t="s">
        <v>404</v>
      </c>
      <c r="G37" s="107" t="s">
        <v>177</v>
      </c>
      <c r="H37" s="172"/>
      <c r="I37" s="34" t="str">
        <f>_xlfn.CONCAT(F37:F45)</f>
        <v>@yYxX}{][</v>
      </c>
      <c r="J37" s="71" t="str">
        <f xml:space="preserve"> _xlfn.CONCAT(C37:C45)</f>
        <v>09(lLOA:;</v>
      </c>
      <c r="K37" s="107" t="str">
        <f t="shared" si="2"/>
        <v>["ㄢ"] = "an",</v>
      </c>
      <c r="L37" s="173" t="str">
        <f xml:space="preserve"> _xlfn.CONCAT(F37:F41)</f>
        <v>@yYxX</v>
      </c>
      <c r="M37" s="173" t="str">
        <f xml:space="preserve"> _xlfn.CONCAT(C37:C41)</f>
        <v>09(lL</v>
      </c>
      <c r="N37" s="194" t="str">
        <f xml:space="preserve"> "- xlit|" &amp; L37 &amp; "|" &amp; M37 &amp; "|"</f>
        <v>- xlit|@yYxX|09(lL|</v>
      </c>
      <c r="P37" s="78">
        <f>P36+1</f>
        <v>32</v>
      </c>
      <c r="Q37" s="73" t="s">
        <v>476</v>
      </c>
      <c r="R37" s="42" t="str" cm="1">
        <f t="array" ref="R37" xml:space="preserve"> IFERROR( INDEX($D$5:$D$65, MATCH(TRUE, EXACT($Q37, $C$5:$C$65),0)), "")</f>
        <v>ㄝ</v>
      </c>
      <c r="S37" s="105" t="str" cm="1">
        <f t="array" ref="S37" xml:space="preserve"> IFERROR( INDEX($G$9:$G$65, MATCH(TRUE, EXACT($Q37, $C$5:$C$65),0)), "")</f>
        <v>o</v>
      </c>
      <c r="T37" s="187" t="str" cm="1">
        <f t="array" ref="T37" xml:space="preserve"> IFERROR( INDEX($F$5:$F$65, MATCH(TRUE, EXACT($Q37, $C$5:$C$65),0)), "")</f>
        <v>e</v>
      </c>
      <c r="V37" s="78">
        <f>V36+1</f>
        <v>32</v>
      </c>
      <c r="W37" s="73" t="s">
        <v>476</v>
      </c>
      <c r="X37" s="42" t="str" cm="1">
        <f t="array" ref="X37" xml:space="preserve"> IFERROR( INDEX($D$5:$D$65, MATCH(TRUE, EXACT($W37, $C$5:$C$65),0)), "")</f>
        <v>ㄝ</v>
      </c>
      <c r="Y37" s="105" t="str" cm="1">
        <f t="array" ref="Y37" xml:space="preserve"> IFERROR( INDEX($G$9:$G$65, MATCH(TRUE, EXACT($W37, $C$5:$C$65),0)), "")</f>
        <v>o</v>
      </c>
      <c r="Z37" s="187" t="str" cm="1">
        <f t="array" ref="Z37" xml:space="preserve"> IFERROR( INDEX($F$5:$F$65, MATCH(TRUE, EXACT($W37, $C$5:$C$65),0)), "")</f>
        <v>e</v>
      </c>
      <c r="AB37" s="98">
        <f t="shared" si="3"/>
        <v>33</v>
      </c>
      <c r="AC37" s="206"/>
      <c r="AD37" s="207"/>
      <c r="AE37" s="208"/>
      <c r="AF37" s="209"/>
      <c r="AQ37" s="195"/>
      <c r="AR37" s="166">
        <f t="shared" si="0"/>
        <v>34</v>
      </c>
      <c r="AS37" s="167" t="s">
        <v>99</v>
      </c>
      <c r="AT37" s="203" t="s">
        <v>489</v>
      </c>
      <c r="AU37" s="169" t="s">
        <v>490</v>
      </c>
      <c r="AV37" s="195"/>
    </row>
    <row r="38" spans="2:48">
      <c r="B38" s="204">
        <f xml:space="preserve"> ROW() -4</f>
        <v>34</v>
      </c>
      <c r="C38" s="71">
        <v>9</v>
      </c>
      <c r="D38" s="178" t="str">
        <f>E38</f>
        <v>ㄞ</v>
      </c>
      <c r="E38" s="32" t="s">
        <v>241</v>
      </c>
      <c r="F38" s="34" t="s">
        <v>370</v>
      </c>
      <c r="G38" s="107" t="s">
        <v>71</v>
      </c>
      <c r="H38" s="172"/>
      <c r="I38" s="34"/>
      <c r="J38" s="71"/>
      <c r="K38" s="107" t="str">
        <f t="shared" si="2"/>
        <v>["ㄞ"] = "ai",</v>
      </c>
      <c r="L38" s="173"/>
      <c r="M38" s="173"/>
      <c r="N38" s="173"/>
      <c r="P38" s="87">
        <f t="shared" ref="P38:P45" si="20">P37+1</f>
        <v>33</v>
      </c>
      <c r="Q38" s="109">
        <v>9</v>
      </c>
      <c r="R38" s="26" t="str" cm="1">
        <f t="array" ref="R38" xml:space="preserve"> IFERROR( INDEX($D$5:$D$65, MATCH(TRUE, EXACT($Q38, $C$5:$C$65),0)), "")</f>
        <v>ㄞ</v>
      </c>
      <c r="S38" s="108" t="str" cm="1">
        <f t="array" ref="S38" xml:space="preserve"> IFERROR( INDEX($G$9:$G$65, MATCH(TRUE, EXACT($Q38, $C$5:$C$65),0)), "")</f>
        <v>om</v>
      </c>
      <c r="T38" s="174" t="str" cm="1">
        <f t="array" ref="T38" xml:space="preserve"> IFERROR( INDEX($F$5:$F$65, MATCH(TRUE, EXACT($Q38, $C$5:$C$65),0)), "")</f>
        <v>y</v>
      </c>
      <c r="V38" s="87">
        <f t="shared" ref="V38:V45" si="21">V37+1</f>
        <v>33</v>
      </c>
      <c r="W38" s="188" t="s">
        <v>491</v>
      </c>
      <c r="X38" s="26" t="str" cm="1">
        <f t="array" ref="X38" xml:space="preserve"> IFERROR( INDEX($D$5:$D$65, MATCH(TRUE, EXACT($W38, $C$5:$C$65),0)), "")</f>
        <v>ㄥㄞ</v>
      </c>
      <c r="Y38" s="108" t="str" cm="1">
        <f t="array" ref="Y38" xml:space="preserve"> IFERROR( INDEX($G$9:$G$65, MATCH(TRUE, EXACT($W38, $C$5:$C$65),0)), "")</f>
        <v>am</v>
      </c>
      <c r="Z38" s="174" t="str" cm="1">
        <f t="array" ref="Z38" xml:space="preserve"> IFERROR( INDEX($F$5:$F$65, MATCH(TRUE, EXACT($W38, $C$5:$C$65),0)), "")</f>
        <v>Y</v>
      </c>
      <c r="AB38" s="98">
        <f t="shared" si="3"/>
        <v>34</v>
      </c>
      <c r="AC38" s="206"/>
      <c r="AD38" s="207"/>
      <c r="AE38" s="208"/>
      <c r="AF38" s="209"/>
      <c r="AQ38" s="195"/>
      <c r="AR38" s="166">
        <f t="shared" si="0"/>
        <v>35</v>
      </c>
      <c r="AS38" s="167" t="s">
        <v>125</v>
      </c>
      <c r="AT38" s="203" t="s">
        <v>163</v>
      </c>
      <c r="AU38" s="169" t="s">
        <v>492</v>
      </c>
      <c r="AV38" s="195"/>
    </row>
    <row r="39" spans="2:48">
      <c r="B39" s="204">
        <f t="shared" ref="B39:B43" si="22" xml:space="preserve"> ROW() -4</f>
        <v>35</v>
      </c>
      <c r="C39" s="71" t="s">
        <v>240</v>
      </c>
      <c r="D39" s="178" t="str">
        <f xml:space="preserve"> "ㄥ" &amp; E38</f>
        <v>ㄥㄞ</v>
      </c>
      <c r="E39" s="32" t="s">
        <v>117</v>
      </c>
      <c r="F39" s="34" t="s">
        <v>374</v>
      </c>
      <c r="G39" s="107" t="s">
        <v>493</v>
      </c>
      <c r="H39" s="172"/>
      <c r="I39" s="34"/>
      <c r="J39" s="71"/>
      <c r="K39" s="107" t="str">
        <f t="shared" si="2"/>
        <v>["ㆮ"] = "Nai",</v>
      </c>
      <c r="L39" s="173"/>
      <c r="M39" s="173"/>
      <c r="N39" s="173"/>
      <c r="P39" s="77">
        <f t="shared" si="20"/>
        <v>34</v>
      </c>
      <c r="Q39" s="71" t="s">
        <v>66</v>
      </c>
      <c r="R39" s="32" t="str" cm="1">
        <f t="array" ref="R39" xml:space="preserve"> IFERROR( INDEX($D$5:$D$65, MATCH(TRUE, EXACT($Q39, $C$5:$C$65),0)), "")</f>
        <v>ㄦ</v>
      </c>
      <c r="S39" s="107" t="str" cm="1">
        <f t="array" ref="S39" xml:space="preserve"> IFERROR( INDEX($G$9:$G$65, MATCH(TRUE, EXACT($Q39, $C$5:$C$65),0)), "")</f>
        <v>N</v>
      </c>
      <c r="T39" s="179" t="str" cm="1">
        <f t="array" ref="T39" xml:space="preserve"> IFERROR( INDEX($F$5:$F$65, MATCH(TRUE, EXACT($Q39, $C$5:$C$65),0)), "")</f>
        <v>R</v>
      </c>
      <c r="V39" s="77">
        <f t="shared" si="21"/>
        <v>34</v>
      </c>
      <c r="W39" s="71" t="s">
        <v>69</v>
      </c>
      <c r="X39" s="32" t="str" cm="1">
        <f t="array" ref="X39" xml:space="preserve"> IFERROR( INDEX($D$5:$D$65, MATCH(TRUE, EXACT($W39, $C$5:$C$65),0)), "")</f>
        <v>ㄛㄇ</v>
      </c>
      <c r="Y39" s="107" t="str" cm="1">
        <f t="array" ref="Y39" xml:space="preserve"> IFERROR( INDEX($G$9:$G$65, MATCH(TRUE, EXACT($W39, $C$5:$C$65),0)), "")</f>
        <v>ir</v>
      </c>
      <c r="Z39" s="179" t="str" cm="1">
        <f t="array" ref="Z39" xml:space="preserve"> IFERROR( INDEX($F$5:$F$65, MATCH(TRUE, EXACT($W39, $C$5:$C$65),0)), "")</f>
        <v>}</v>
      </c>
      <c r="AB39" s="98">
        <f t="shared" si="3"/>
        <v>35</v>
      </c>
      <c r="AC39" s="206"/>
      <c r="AD39" s="207"/>
      <c r="AE39" s="208"/>
      <c r="AF39" s="209"/>
      <c r="AQ39" s="195"/>
      <c r="AR39" s="166">
        <f t="shared" si="0"/>
        <v>36</v>
      </c>
      <c r="AS39" s="167" t="s">
        <v>145</v>
      </c>
      <c r="AT39" s="203" t="s">
        <v>494</v>
      </c>
      <c r="AU39" s="169" t="s">
        <v>495</v>
      </c>
      <c r="AV39" s="195"/>
    </row>
    <row r="40" spans="2:48">
      <c r="B40" s="204">
        <f t="shared" si="22"/>
        <v>36</v>
      </c>
      <c r="C40" s="71" t="s">
        <v>86</v>
      </c>
      <c r="D40" s="178" t="str">
        <f>E40</f>
        <v>ㄠ</v>
      </c>
      <c r="E40" s="32" t="s">
        <v>72</v>
      </c>
      <c r="F40" s="34" t="s">
        <v>413</v>
      </c>
      <c r="G40" s="107" t="s">
        <v>326</v>
      </c>
      <c r="H40" s="172"/>
      <c r="I40" s="34"/>
      <c r="J40" s="71"/>
      <c r="K40" s="107" t="str">
        <f t="shared" si="2"/>
        <v>["ㄠ"] = "au",</v>
      </c>
      <c r="L40" s="173"/>
      <c r="M40" s="173"/>
      <c r="N40" s="173"/>
      <c r="P40" s="77">
        <f t="shared" si="20"/>
        <v>35</v>
      </c>
      <c r="Q40" s="71" t="s">
        <v>496</v>
      </c>
      <c r="R40" s="32" t="str" cm="1">
        <f t="array" ref="R40" xml:space="preserve"> IFERROR( INDEX($D$5:$D$65, MATCH(TRUE, EXACT($Q40, $C$5:$C$65),0)), "")</f>
        <v>ㄠ</v>
      </c>
      <c r="S40" s="107" t="str" cm="1">
        <f t="array" ref="S40" xml:space="preserve"> IFERROR( INDEX($G$9:$G$65, MATCH(TRUE, EXACT($Q40, $C$5:$C$65),0)), "")</f>
        <v>ong</v>
      </c>
      <c r="T40" s="181" t="str" cm="1">
        <f t="array" ref="T40" xml:space="preserve"> IFERROR( INDEX($F$5:$F$65, MATCH(TRUE, EXACT($Q40, $C$5:$C$65),0)), "")</f>
        <v>x</v>
      </c>
      <c r="V40" s="77">
        <f t="shared" si="21"/>
        <v>35</v>
      </c>
      <c r="W40" s="71" t="s">
        <v>497</v>
      </c>
      <c r="X40" s="32" t="str" cm="1">
        <f t="array" ref="X40" xml:space="preserve"> IFERROR( INDEX($D$5:$D$65, MATCH(TRUE, EXACT($W40, $C$5:$C$65),0)), "")</f>
        <v>ㄥㄠ</v>
      </c>
      <c r="Y40" s="107" t="str" cm="1">
        <f t="array" ref="Y40" xml:space="preserve"> IFERROR( INDEX($G$9:$G$65, MATCH(TRUE, EXACT($W40, $C$5:$C$65),0)), "")</f>
        <v>ang</v>
      </c>
      <c r="Z40" s="181" t="str" cm="1">
        <f t="array" ref="Z40" xml:space="preserve"> IFERROR( INDEX($F$5:$F$65, MATCH(TRUE, EXACT($W40, $C$5:$C$65),0)), "")</f>
        <v>X</v>
      </c>
      <c r="AB40" s="98">
        <f t="shared" si="3"/>
        <v>36</v>
      </c>
      <c r="AC40" s="206"/>
      <c r="AD40" s="207"/>
      <c r="AE40" s="208"/>
      <c r="AF40" s="209"/>
      <c r="AR40" s="166">
        <f t="shared" si="0"/>
        <v>37</v>
      </c>
      <c r="AS40" s="167" t="s">
        <v>97</v>
      </c>
      <c r="AT40" s="203" t="s">
        <v>140</v>
      </c>
      <c r="AU40" s="169" t="s">
        <v>498</v>
      </c>
    </row>
    <row r="41" spans="2:48">
      <c r="B41" s="211">
        <f t="shared" si="22"/>
        <v>37</v>
      </c>
      <c r="C41" s="73" t="s">
        <v>231</v>
      </c>
      <c r="D41" s="183" t="str">
        <f xml:space="preserve"> "ㄥ" &amp; E40</f>
        <v>ㄥㄠ</v>
      </c>
      <c r="E41" s="42" t="s">
        <v>123</v>
      </c>
      <c r="F41" s="44" t="s">
        <v>414</v>
      </c>
      <c r="G41" s="105" t="s">
        <v>499</v>
      </c>
      <c r="H41" s="172"/>
      <c r="I41" s="34"/>
      <c r="J41" s="71"/>
      <c r="K41" s="107" t="str">
        <f t="shared" si="2"/>
        <v>["ㆯ"] = "Nau",</v>
      </c>
      <c r="L41" s="173"/>
      <c r="M41" s="173"/>
      <c r="N41" s="173" t="str">
        <f xml:space="preserve"> "# " &amp; _xlfn.CONCAT(E42:E46)</f>
        <v># ㆱㆰㆲㄤㆨ</v>
      </c>
      <c r="P41" s="78">
        <f t="shared" si="20"/>
        <v>36</v>
      </c>
      <c r="Q41" s="73" t="s">
        <v>500</v>
      </c>
      <c r="R41" s="42" t="str" cm="1">
        <f t="array" ref="R41" xml:space="preserve"> IFERROR( INDEX($D$5:$D$65, MATCH(TRUE, EXACT($Q41, $C$5:$C$65),0)), "")</f>
        <v>鼻</v>
      </c>
      <c r="S41" s="105" cm="1">
        <f t="array" ref="S41" xml:space="preserve"> IFERROR( INDEX($G$9:$G$65, MATCH(TRUE, EXACT($Q41, $C$5:$C$65),0)), "")</f>
        <v>5</v>
      </c>
      <c r="T41" s="187" t="str" cm="1">
        <f t="array" ref="T41" xml:space="preserve"> IFERROR( INDEX($F$5:$F$65, MATCH(TRUE, EXACT($Q41, $C$5:$C$65),0)), "")</f>
        <v>B</v>
      </c>
      <c r="V41" s="78">
        <f t="shared" si="21"/>
        <v>36</v>
      </c>
      <c r="W41" s="73" t="s">
        <v>500</v>
      </c>
      <c r="X41" s="42" t="str" cm="1">
        <f t="array" ref="X41" xml:space="preserve"> IFERROR( INDEX($D$5:$D$65, MATCH(TRUE, EXACT($W41, $C$5:$C$65),0)), "")</f>
        <v>鼻</v>
      </c>
      <c r="Y41" s="105" cm="1">
        <f t="array" ref="Y41" xml:space="preserve"> IFERROR( INDEX($G$9:$G$65, MATCH(TRUE, EXACT($W41, $C$5:$C$65),0)), "")</f>
        <v>5</v>
      </c>
      <c r="Z41" s="187" t="str" cm="1">
        <f t="array" ref="Z41" xml:space="preserve"> IFERROR( INDEX($F$5:$F$65, MATCH(TRUE, EXACT($W41, $C$5:$C$65),0)), "")</f>
        <v>B</v>
      </c>
      <c r="AB41" s="98">
        <f t="shared" si="3"/>
        <v>37</v>
      </c>
      <c r="AC41" s="206"/>
      <c r="AD41" s="207"/>
      <c r="AE41" s="208"/>
      <c r="AF41" s="209"/>
      <c r="AR41" s="166">
        <f t="shared" si="0"/>
        <v>38</v>
      </c>
      <c r="AS41" s="167" t="s">
        <v>76</v>
      </c>
      <c r="AT41" s="203" t="s">
        <v>207</v>
      </c>
      <c r="AU41" s="169" t="s">
        <v>501</v>
      </c>
    </row>
    <row r="42" spans="2:48">
      <c r="B42" s="204">
        <f t="shared" si="22"/>
        <v>38</v>
      </c>
      <c r="C42" s="205" t="s">
        <v>69</v>
      </c>
      <c r="D42" s="212" t="s">
        <v>502</v>
      </c>
      <c r="E42" s="213" t="s">
        <v>125</v>
      </c>
      <c r="F42" s="34" t="s">
        <v>503</v>
      </c>
      <c r="G42" s="107" t="s">
        <v>203</v>
      </c>
      <c r="H42" s="172"/>
      <c r="I42" s="28"/>
      <c r="J42" s="188"/>
      <c r="K42" s="107" t="str">
        <f t="shared" si="2"/>
        <v>["ㆱ"] = "om",</v>
      </c>
      <c r="L42" s="194" t="str">
        <f xml:space="preserve"> _xlfn.CONCAT(F42:F46)</f>
        <v>}{][R</v>
      </c>
      <c r="M42" s="194" t="str">
        <f xml:space="preserve"> _xlfn.CONCAT(C42:C46)</f>
        <v>OA:;o</v>
      </c>
      <c r="N42" s="194" t="str">
        <f xml:space="preserve"> "- xlit|" &amp; L42 &amp; "|" &amp; M42 &amp; "|"</f>
        <v>- xlit|}{][R|OA:;o|</v>
      </c>
      <c r="P42" s="87">
        <f t="shared" si="20"/>
        <v>37</v>
      </c>
      <c r="Q42" s="109">
        <v>0</v>
      </c>
      <c r="R42" s="26" t="str" cm="1">
        <f t="array" ref="R42" xml:space="preserve"> IFERROR( INDEX($D$5:$D$65, MATCH(TRUE, EXACT($Q42, $C$5:$C$65),0)), "")</f>
        <v>ㄢ</v>
      </c>
      <c r="S42" s="108" t="str" cm="1">
        <f t="array" ref="S42" xml:space="preserve"> IFERROR( INDEX($G$9:$G$65, MATCH(TRUE, EXACT($Q42, $C$5:$C$65),0)), "")</f>
        <v>Nau</v>
      </c>
      <c r="T42" s="174" t="str" cm="1">
        <f t="array" ref="T42" xml:space="preserve"> IFERROR( INDEX($F$5:$F$65, MATCH(TRUE, EXACT($Q42, $C$5:$C$65),0)), "")</f>
        <v>@</v>
      </c>
      <c r="V42" s="87">
        <f t="shared" si="21"/>
        <v>37</v>
      </c>
      <c r="W42" s="188" t="s">
        <v>504</v>
      </c>
      <c r="X42" s="26" t="str" cm="1">
        <f t="array" ref="X42" xml:space="preserve"> IFERROR( INDEX($D$5:$D$65, MATCH(TRUE, EXACT($W42, $C$5:$C$65),0)), "")</f>
        <v/>
      </c>
      <c r="Y42" s="108" t="str" cm="1">
        <f t="array" ref="Y42" xml:space="preserve"> IFERROR( INDEX($G$9:$G$65, MATCH(TRUE, EXACT($W42, $C$5:$C$65),0)), "")</f>
        <v/>
      </c>
      <c r="Z42" s="174" t="str" cm="1">
        <f t="array" ref="Z42" xml:space="preserve"> IFERROR( INDEX($F$5:$F$65, MATCH(TRUE, EXACT($W42, $C$5:$C$65),0)), "")</f>
        <v/>
      </c>
      <c r="AB42" s="98">
        <f t="shared" si="3"/>
        <v>38</v>
      </c>
      <c r="AC42" s="206"/>
      <c r="AD42" s="207"/>
      <c r="AE42" s="208"/>
      <c r="AF42" s="209"/>
      <c r="AR42" s="166">
        <f t="shared" si="0"/>
        <v>39</v>
      </c>
      <c r="AS42" s="167" t="s">
        <v>95</v>
      </c>
      <c r="AT42" s="203" t="s">
        <v>203</v>
      </c>
      <c r="AU42" s="169" t="s">
        <v>505</v>
      </c>
    </row>
    <row r="43" spans="2:48">
      <c r="B43" s="204">
        <f t="shared" si="22"/>
        <v>39</v>
      </c>
      <c r="C43" s="205" t="s">
        <v>401</v>
      </c>
      <c r="D43" s="212" t="s">
        <v>506</v>
      </c>
      <c r="E43" s="213" t="s">
        <v>99</v>
      </c>
      <c r="F43" s="34" t="s">
        <v>507</v>
      </c>
      <c r="G43" s="107" t="s">
        <v>207</v>
      </c>
      <c r="H43" s="172"/>
      <c r="I43" s="34"/>
      <c r="J43" s="205"/>
      <c r="K43" s="107" t="str">
        <f t="shared" si="2"/>
        <v>["ㆰ"] = "am",</v>
      </c>
      <c r="L43" s="173"/>
      <c r="M43" s="173"/>
      <c r="N43" s="173"/>
      <c r="P43" s="77">
        <f t="shared" si="20"/>
        <v>38</v>
      </c>
      <c r="Q43" s="71" t="s">
        <v>21</v>
      </c>
      <c r="R43" s="32" t="str" cm="1">
        <f t="array" ref="R43" xml:space="preserve"> IFERROR( INDEX($D$5:$D$65, MATCH(TRUE, EXACT($Q43, $C$5:$C$65),0)), "")</f>
        <v>ㄣ</v>
      </c>
      <c r="S43" s="107" cm="1">
        <f t="array" ref="S43" xml:space="preserve"> IFERROR( INDEX($G$9:$G$65, MATCH(TRUE, EXACT($Q43, $C$5:$C$65),0)), "")</f>
        <v>3</v>
      </c>
      <c r="T43" s="179" t="str" cm="1">
        <f t="array" ref="T43" xml:space="preserve"> IFERROR( INDEX($F$5:$F$65, MATCH(TRUE, EXACT($Q43, $C$5:$C$65),0)), "")</f>
        <v>N</v>
      </c>
      <c r="V43" s="77">
        <f t="shared" si="21"/>
        <v>38</v>
      </c>
      <c r="W43" s="71" t="s">
        <v>358</v>
      </c>
      <c r="X43" s="32" t="str" cm="1">
        <f t="array" ref="X43" xml:space="preserve"> IFERROR( INDEX($D$5:$D$65, MATCH(TRUE, EXACT($W43, $C$5:$C$65),0)), "")</f>
        <v/>
      </c>
      <c r="Y43" s="107" t="str" cm="1">
        <f t="array" ref="Y43" xml:space="preserve"> IFERROR( INDEX($G$9:$G$65, MATCH(TRUE, EXACT($W43, $C$5:$C$65),0)), "")</f>
        <v/>
      </c>
      <c r="Z43" s="179" t="str" cm="1">
        <f t="array" ref="Z43" xml:space="preserve"> IFERROR( INDEX($F$5:$F$65, MATCH(TRUE, EXACT($W43, $C$5:$C$65),0)), "")</f>
        <v/>
      </c>
      <c r="AB43" s="98">
        <f t="shared" si="3"/>
        <v>39</v>
      </c>
      <c r="AC43" s="206"/>
      <c r="AD43" s="207"/>
      <c r="AE43" s="208"/>
      <c r="AF43" s="209"/>
      <c r="AR43" s="166">
        <f t="shared" si="0"/>
        <v>40</v>
      </c>
      <c r="AS43" s="167" t="s">
        <v>101</v>
      </c>
      <c r="AT43" s="203" t="s">
        <v>276</v>
      </c>
      <c r="AU43" s="169" t="s">
        <v>508</v>
      </c>
    </row>
    <row r="44" spans="2:48">
      <c r="B44" s="204">
        <f t="shared" ref="B44:B50" si="23" xml:space="preserve"> ROW() - 4</f>
        <v>40</v>
      </c>
      <c r="C44" s="205" t="s">
        <v>509</v>
      </c>
      <c r="D44" s="212" t="s">
        <v>510</v>
      </c>
      <c r="E44" s="213" t="s">
        <v>101</v>
      </c>
      <c r="F44" s="34" t="s">
        <v>511</v>
      </c>
      <c r="G44" s="107" t="s">
        <v>160</v>
      </c>
      <c r="H44" s="172"/>
      <c r="I44" s="34"/>
      <c r="J44" s="205"/>
      <c r="K44" s="107" t="str">
        <f t="shared" si="2"/>
        <v>["ㆲ"] = "ong",</v>
      </c>
      <c r="L44" s="173"/>
      <c r="M44" s="173"/>
      <c r="N44" s="173"/>
      <c r="P44" s="77">
        <f t="shared" si="20"/>
        <v>39</v>
      </c>
      <c r="Q44" s="71" t="s">
        <v>512</v>
      </c>
      <c r="R44" s="32" t="str" cm="1">
        <f t="array" ref="R44" xml:space="preserve"> IFERROR( INDEX($D$5:$D$65, MATCH(TRUE, EXACT($Q44, $C$5:$C$65),0)), "")</f>
        <v>ㄤ</v>
      </c>
      <c r="S44" s="107" t="str" cm="1">
        <f t="array" ref="S44" xml:space="preserve"> IFERROR( INDEX($G$9:$G$65, MATCH(TRUE, EXACT($Q44, $C$5:$C$65),0)), "")</f>
        <v>n</v>
      </c>
      <c r="T44" s="181" t="str" cm="1">
        <f t="array" ref="T44" xml:space="preserve"> IFERROR( INDEX($F$5:$F$65, MATCH(TRUE, EXACT($Q44, $C$5:$C$65),0)), "")</f>
        <v>[</v>
      </c>
      <c r="V44" s="77">
        <f t="shared" si="21"/>
        <v>39</v>
      </c>
      <c r="W44" s="205" t="s">
        <v>509</v>
      </c>
      <c r="X44" s="32" t="str" cm="1">
        <f t="array" ref="X44" xml:space="preserve"> IFERROR( INDEX($D$5:$D$65, MATCH(TRUE, EXACT($W44, $C$5:$C$65),0)), "")</f>
        <v>ㄛㄥ</v>
      </c>
      <c r="Y44" s="107" t="str" cm="1">
        <f t="array" ref="Y44" xml:space="preserve"> IFERROR( INDEX($G$9:$G$65, MATCH(TRUE, EXACT($W44, $C$5:$C$65),0)), "")</f>
        <v>m</v>
      </c>
      <c r="Z44" s="181" t="str" cm="1">
        <f t="array" ref="Z44" xml:space="preserve"> IFERROR( INDEX($F$5:$F$65, MATCH(TRUE, EXACT($W44, $C$5:$C$65),0)), "")</f>
        <v>]</v>
      </c>
      <c r="AB44" s="98">
        <f t="shared" si="3"/>
        <v>40</v>
      </c>
      <c r="AC44" s="214" t="s">
        <v>364</v>
      </c>
      <c r="AD44" s="215" t="s">
        <v>364</v>
      </c>
      <c r="AE44" s="216">
        <v>1</v>
      </c>
      <c r="AF44" s="217">
        <v>1</v>
      </c>
      <c r="AR44" s="166">
        <f t="shared" si="0"/>
        <v>41</v>
      </c>
      <c r="AS44" s="167" t="s">
        <v>127</v>
      </c>
      <c r="AT44" s="203" t="s">
        <v>513</v>
      </c>
      <c r="AU44" s="169" t="s">
        <v>514</v>
      </c>
    </row>
    <row r="45" spans="2:48">
      <c r="B45" s="204">
        <f t="shared" si="23"/>
        <v>41</v>
      </c>
      <c r="C45" s="205" t="s">
        <v>512</v>
      </c>
      <c r="D45" s="178" t="str">
        <f>E45</f>
        <v>ㄤ</v>
      </c>
      <c r="E45" s="32" t="s">
        <v>95</v>
      </c>
      <c r="F45" s="34" t="s">
        <v>515</v>
      </c>
      <c r="G45" s="107" t="s">
        <v>163</v>
      </c>
      <c r="H45" s="172"/>
      <c r="I45" s="44"/>
      <c r="J45" s="218"/>
      <c r="K45" s="107" t="str">
        <f t="shared" si="2"/>
        <v>["ㄤ"] = "ang",</v>
      </c>
      <c r="L45" s="196"/>
      <c r="M45" s="196"/>
      <c r="N45" s="196"/>
      <c r="P45" s="78">
        <f t="shared" si="20"/>
        <v>40</v>
      </c>
      <c r="Q45" s="218" t="s">
        <v>516</v>
      </c>
      <c r="R45" s="42" t="str" cm="1">
        <f t="array" ref="R45" xml:space="preserve"> IFERROR( INDEX($D$5:$D$65, MATCH(TRUE, EXACT($Q45, $C$5:$C$65),0)), "")</f>
        <v>ㄥ</v>
      </c>
      <c r="S45" s="105" cm="1">
        <f t="array" ref="S45" xml:space="preserve"> IFERROR( INDEX($G$9:$G$65, MATCH(TRUE, EXACT($Q45, $C$5:$C$65),0)), "")</f>
        <v>1</v>
      </c>
      <c r="T45" s="187" t="str" cm="1">
        <f t="array" ref="T45" xml:space="preserve"> IFERROR( INDEX($F$5:$F$65, MATCH(TRUE, EXACT($Q45, $C$5:$C$65),0)), "")</f>
        <v>W</v>
      </c>
      <c r="V45" s="78">
        <f t="shared" si="21"/>
        <v>40</v>
      </c>
      <c r="W45" s="218" t="s">
        <v>517</v>
      </c>
      <c r="X45" s="42" t="str" cm="1">
        <f t="array" ref="X45" xml:space="preserve"> IFERROR( INDEX($D$5:$D$65, MATCH(TRUE, EXACT($W45, $C$5:$C$65),0)), "")</f>
        <v>ㄥ</v>
      </c>
      <c r="Y45" s="105" t="str" cm="1">
        <f t="array" ref="Y45" xml:space="preserve"> IFERROR( INDEX($G$9:$G$65, MATCH(TRUE, EXACT($W45, $C$5:$C$65),0)), "")</f>
        <v>j</v>
      </c>
      <c r="Z45" s="187" t="str" cm="1">
        <f t="array" ref="Z45" xml:space="preserve"> IFERROR( INDEX($F$5:$F$65, MATCH(TRUE, EXACT($W45, $C$5:$C$65),0)), "")</f>
        <v>w</v>
      </c>
      <c r="AB45" s="98">
        <f t="shared" si="3"/>
        <v>41</v>
      </c>
      <c r="AC45" s="214">
        <v>3</v>
      </c>
      <c r="AD45" s="215" t="s">
        <v>105</v>
      </c>
      <c r="AE45" s="216">
        <v>3</v>
      </c>
      <c r="AF45" s="217">
        <v>3</v>
      </c>
      <c r="AR45" s="166">
        <f t="shared" si="0"/>
        <v>42</v>
      </c>
      <c r="AS45" s="167" t="s">
        <v>74</v>
      </c>
      <c r="AT45" s="203" t="s">
        <v>518</v>
      </c>
      <c r="AU45" s="169" t="s">
        <v>519</v>
      </c>
    </row>
    <row r="46" spans="2:48">
      <c r="B46" s="204">
        <f t="shared" si="23"/>
        <v>42</v>
      </c>
      <c r="C46" s="205" t="s">
        <v>66</v>
      </c>
      <c r="D46" s="32" t="s">
        <v>520</v>
      </c>
      <c r="E46" s="178" t="s">
        <v>521</v>
      </c>
      <c r="F46" s="34" t="s">
        <v>436</v>
      </c>
      <c r="G46" s="107" t="s">
        <v>522</v>
      </c>
      <c r="H46" s="172"/>
      <c r="I46" s="44" t="str">
        <f>_xlfn.CONCAT(F46:F49)</f>
        <v>RWMN</v>
      </c>
      <c r="J46" s="73" t="str">
        <f xml:space="preserve"> _xlfn.CONCAT(C46:C49)</f>
        <v>o/mp</v>
      </c>
      <c r="K46" s="107" t="str">
        <f t="shared" si="2"/>
        <v>["ㆨ"] = "ir",</v>
      </c>
      <c r="L46" s="196"/>
      <c r="M46" s="196"/>
      <c r="N46" s="173" t="str">
        <f xml:space="preserve"> "# " &amp; _xlfn.CONCAT(E47:E49)</f>
        <v># ㆭㆬㄣ</v>
      </c>
      <c r="P46" s="77">
        <f>P45+1</f>
        <v>41</v>
      </c>
      <c r="Q46" s="205" t="s">
        <v>366</v>
      </c>
      <c r="R46" s="32" t="str" cm="1">
        <f t="array" ref="R46" xml:space="preserve"> IFERROR( INDEX($D$5:$D$65, MATCH(TRUE, EXACT($Q46, $C$5:$C$65),0)), "")</f>
        <v/>
      </c>
      <c r="S46" s="107" t="str" cm="1">
        <f t="array" ref="S46" xml:space="preserve"> IFERROR( INDEX($G$9:$G$65, MATCH(TRUE, EXACT($Q46, $C$5:$C$65),0)), "")</f>
        <v/>
      </c>
      <c r="T46" s="179" t="str" cm="1">
        <f t="array" ref="T46" xml:space="preserve"> IFERROR( INDEX($F$5:$F$65, MATCH(TRUE, EXACT($Q46, $C$5:$C$65),0)), "")</f>
        <v/>
      </c>
      <c r="V46" s="77">
        <f>V45+1</f>
        <v>41</v>
      </c>
      <c r="W46" s="205" t="s">
        <v>523</v>
      </c>
      <c r="X46" s="32" t="str" cm="1">
        <f t="array" ref="X46" xml:space="preserve"> IFERROR( INDEX($D$5:$D$65, MATCH(TRUE, EXACT($W46, $C$5:$C$65),0)), "")</f>
        <v/>
      </c>
      <c r="Y46" s="107" t="str" cm="1">
        <f t="array" ref="Y46" xml:space="preserve"> IFERROR( INDEX($G$9:$G$65, MATCH(TRUE, EXACT($W46, $C$5:$C$65),0)), "")</f>
        <v/>
      </c>
      <c r="Z46" s="179" t="str" cm="1">
        <f t="array" ref="Z46" xml:space="preserve"> IFERROR( INDEX($F$5:$F$65, MATCH(TRUE, EXACT($W46, $C$5:$C$65),0)), "")</f>
        <v/>
      </c>
      <c r="AB46" s="98">
        <f t="shared" si="3"/>
        <v>42</v>
      </c>
      <c r="AC46" s="214">
        <v>4</v>
      </c>
      <c r="AD46" s="215" t="s">
        <v>104</v>
      </c>
      <c r="AE46" s="216">
        <v>2</v>
      </c>
      <c r="AF46" s="217">
        <v>2</v>
      </c>
      <c r="AR46" s="166">
        <f t="shared" si="0"/>
        <v>43</v>
      </c>
      <c r="AS46" s="167" t="s">
        <v>54</v>
      </c>
      <c r="AT46" s="203" t="s">
        <v>270</v>
      </c>
      <c r="AU46" s="169" t="s">
        <v>524</v>
      </c>
    </row>
    <row r="47" spans="2:48">
      <c r="B47" s="219">
        <f t="shared" si="23"/>
        <v>43</v>
      </c>
      <c r="C47" s="188" t="s">
        <v>516</v>
      </c>
      <c r="D47" s="220" t="s">
        <v>127</v>
      </c>
      <c r="E47" s="221" t="s">
        <v>142</v>
      </c>
      <c r="F47" s="201" t="s">
        <v>410</v>
      </c>
      <c r="G47" s="222" t="s">
        <v>88</v>
      </c>
      <c r="H47" s="185"/>
      <c r="I47" s="201"/>
      <c r="J47" s="188"/>
      <c r="K47" s="107" t="str">
        <f t="shared" si="2"/>
        <v>["ㆭ"] = "ng",</v>
      </c>
      <c r="L47" s="202" t="str">
        <f>_xlfn.CONCAT(F47:F49)</f>
        <v>WMN</v>
      </c>
      <c r="M47" s="202" t="str">
        <f>_xlfn.CONCAT(C47:C49)</f>
        <v>/mp</v>
      </c>
      <c r="N47" s="194" t="str">
        <f xml:space="preserve"> "- xlit|" &amp; L47 &amp; "|" &amp; M47 &amp; "|"</f>
        <v>- xlit|WMN|/mp|</v>
      </c>
      <c r="P47" s="77">
        <f>P46+1</f>
        <v>42</v>
      </c>
      <c r="Q47" s="71" t="s">
        <v>515</v>
      </c>
      <c r="R47" s="32" t="str" cm="1">
        <f t="array" ref="R47" xml:space="preserve"> IFERROR( INDEX($D$5:$D$65, MATCH(TRUE, EXACT($Q47, $C$5:$C$65),0)), "")</f>
        <v/>
      </c>
      <c r="S47" s="107" t="str" cm="1">
        <f t="array" ref="S47" xml:space="preserve"> IFERROR( INDEX($G$9:$G$65, MATCH(TRUE, EXACT($Q47, $C$5:$C$65),0)), "")</f>
        <v/>
      </c>
      <c r="T47" s="179" t="str" cm="1">
        <f t="array" ref="T47" xml:space="preserve"> IFERROR( INDEX($F$5:$F$65, MATCH(TRUE, EXACT($Q47, $C$5:$C$65),0)), "")</f>
        <v/>
      </c>
      <c r="V47" s="77">
        <f>V46+1</f>
        <v>42</v>
      </c>
      <c r="W47" s="205" t="s">
        <v>507</v>
      </c>
      <c r="X47" s="32" t="str" cm="1">
        <f t="array" ref="X47" xml:space="preserve"> IFERROR( INDEX($D$5:$D$65, MATCH(TRUE, EXACT($W47, $C$5:$C$65),0)), "")</f>
        <v/>
      </c>
      <c r="Y47" s="107" t="str" cm="1">
        <f t="array" ref="Y47" xml:space="preserve"> IFERROR( INDEX($G$9:$G$65, MATCH(TRUE, EXACT($W47, $C$5:$C$65),0)), "")</f>
        <v/>
      </c>
      <c r="Z47" s="179" t="str" cm="1">
        <f t="array" ref="Z47" xml:space="preserve"> IFERROR( INDEX($F$5:$F$65, MATCH(TRUE, EXACT($W47, $C$5:$C$65),0)), "")</f>
        <v/>
      </c>
      <c r="AB47" s="98">
        <f t="shared" si="3"/>
        <v>43</v>
      </c>
      <c r="AC47" s="214">
        <v>5</v>
      </c>
      <c r="AD47" s="215" t="s">
        <v>107</v>
      </c>
      <c r="AE47" s="216">
        <v>7</v>
      </c>
      <c r="AF47" s="217">
        <v>7</v>
      </c>
    </row>
    <row r="48" spans="2:48">
      <c r="B48" s="204">
        <f t="shared" si="23"/>
        <v>44</v>
      </c>
      <c r="C48" s="71" t="s">
        <v>84</v>
      </c>
      <c r="D48" s="223" t="s">
        <v>83</v>
      </c>
      <c r="E48" s="70" t="s">
        <v>78</v>
      </c>
      <c r="F48" s="34" t="s">
        <v>525</v>
      </c>
      <c r="G48" s="111" t="s">
        <v>84</v>
      </c>
      <c r="H48" s="185"/>
      <c r="I48" s="34"/>
      <c r="J48" s="71"/>
      <c r="K48" s="107" t="str">
        <f t="shared" si="2"/>
        <v>["ㆬ"] = "m",</v>
      </c>
      <c r="L48" s="186"/>
      <c r="M48" s="186"/>
      <c r="N48" s="186"/>
      <c r="P48" s="77">
        <f t="shared" ref="P48:P49" si="24">P47+1</f>
        <v>43</v>
      </c>
      <c r="Q48" s="205" t="s">
        <v>526</v>
      </c>
      <c r="R48" s="32" t="str" cm="1">
        <f t="array" ref="R48" xml:space="preserve"> IFERROR( INDEX($D$5:$D$65, MATCH(TRUE, EXACT($Q48, $C$5:$C$65),0)), "")</f>
        <v/>
      </c>
      <c r="S48" s="107" t="str" cm="1">
        <f t="array" ref="S48" xml:space="preserve"> IFERROR( INDEX($G$9:$G$65, MATCH(TRUE, EXACT($Q48, $C$5:$C$65),0)), "")</f>
        <v/>
      </c>
      <c r="T48" s="181" t="str" cm="1">
        <f t="array" ref="T48" xml:space="preserve"> IFERROR( INDEX($F$5:$F$65, MATCH(TRUE, EXACT($Q48, $C$5:$C$65),0)), "")</f>
        <v/>
      </c>
      <c r="V48" s="77">
        <f t="shared" ref="V48:V49" si="25">V47+1</f>
        <v>43</v>
      </c>
      <c r="W48" s="205" t="s">
        <v>527</v>
      </c>
      <c r="X48" s="32" t="str" cm="1">
        <f t="array" ref="X48" xml:space="preserve"> IFERROR( INDEX($D$5:$D$65, MATCH(TRUE, EXACT($W48, $C$5:$C$65),0)), "")</f>
        <v/>
      </c>
      <c r="Y48" s="107" t="str" cm="1">
        <f t="array" ref="Y48" xml:space="preserve"> IFERROR( INDEX($G$9:$G$65, MATCH(TRUE, EXACT($W48, $C$5:$C$65),0)), "")</f>
        <v/>
      </c>
      <c r="Z48" s="181" t="str" cm="1">
        <f t="array" ref="Z48" xml:space="preserve"> IFERROR( INDEX($F$5:$F$65, MATCH(TRUE, EXACT($W48, $C$5:$C$65),0)), "")</f>
        <v/>
      </c>
      <c r="AB48" s="98">
        <f t="shared" si="3"/>
        <v>44</v>
      </c>
      <c r="AC48" s="214">
        <v>6</v>
      </c>
      <c r="AD48" s="215" t="s">
        <v>106</v>
      </c>
      <c r="AE48" s="216">
        <v>5</v>
      </c>
      <c r="AF48" s="217">
        <v>5</v>
      </c>
    </row>
    <row r="49" spans="2:39">
      <c r="B49" s="211">
        <f t="shared" si="23"/>
        <v>45</v>
      </c>
      <c r="C49" s="73" t="s">
        <v>217</v>
      </c>
      <c r="D49" s="224" t="str">
        <f>E49</f>
        <v>ㄣ</v>
      </c>
      <c r="E49" s="225" t="s">
        <v>76</v>
      </c>
      <c r="F49" s="44" t="s">
        <v>26</v>
      </c>
      <c r="G49" s="184" t="s">
        <v>372</v>
      </c>
      <c r="H49" s="185"/>
      <c r="I49" s="44"/>
      <c r="J49" s="73"/>
      <c r="K49" s="107" t="str">
        <f t="shared" si="2"/>
        <v>["ㄣ"] = "n",</v>
      </c>
      <c r="L49" s="226"/>
      <c r="M49" s="226"/>
      <c r="N49" s="186"/>
      <c r="P49" s="77">
        <f t="shared" si="24"/>
        <v>44</v>
      </c>
      <c r="Q49" s="205" t="s">
        <v>528</v>
      </c>
      <c r="R49" s="32" t="str" cm="1">
        <f t="array" ref="R49" xml:space="preserve"> IFERROR( INDEX($D$5:$D$65, MATCH(TRUE, EXACT($Q49, $C$5:$C$65),0)), "")</f>
        <v/>
      </c>
      <c r="S49" s="107" t="str" cm="1">
        <f t="array" ref="S49" xml:space="preserve"> IFERROR( INDEX($G$9:$G$65, MATCH(TRUE, EXACT($Q49, $C$5:$C$65),0)), "")</f>
        <v/>
      </c>
      <c r="T49" s="179" t="str" cm="1">
        <f t="array" ref="T49" xml:space="preserve"> IFERROR( INDEX($F$5:$F$65, MATCH(TRUE, EXACT($Q49, $C$5:$C$65),0)), "")</f>
        <v/>
      </c>
      <c r="V49" s="77">
        <f t="shared" si="25"/>
        <v>44</v>
      </c>
      <c r="W49" s="205" t="s">
        <v>529</v>
      </c>
      <c r="X49" s="32" t="str" cm="1">
        <f t="array" ref="X49" xml:space="preserve"> IFERROR( INDEX($D$5:$D$65, MATCH(TRUE, EXACT($W49, $C$5:$C$65),0)), "")</f>
        <v/>
      </c>
      <c r="Y49" s="107" t="str" cm="1">
        <f t="array" ref="Y49" xml:space="preserve"> IFERROR( INDEX($G$9:$G$65, MATCH(TRUE, EXACT($W49, $C$5:$C$65),0)), "")</f>
        <v/>
      </c>
      <c r="Z49" s="179" t="str" cm="1">
        <f t="array" ref="Z49" xml:space="preserve"> IFERROR( INDEX($F$5:$F$65, MATCH(TRUE, EXACT($W49, $C$5:$C$65),0)), "")</f>
        <v/>
      </c>
      <c r="AB49" s="98">
        <f t="shared" si="3"/>
        <v>45</v>
      </c>
      <c r="AC49" s="214">
        <v>7</v>
      </c>
      <c r="AD49" s="215" t="s">
        <v>530</v>
      </c>
      <c r="AE49" s="216">
        <v>8</v>
      </c>
      <c r="AF49" s="217">
        <v>0</v>
      </c>
    </row>
    <row r="50" spans="2:39">
      <c r="B50" s="211">
        <f t="shared" si="23"/>
        <v>46</v>
      </c>
      <c r="C50" s="218" t="s">
        <v>500</v>
      </c>
      <c r="D50" s="183" t="s">
        <v>80</v>
      </c>
      <c r="E50" s="183" t="s">
        <v>80</v>
      </c>
      <c r="F50" s="44" t="s">
        <v>218</v>
      </c>
      <c r="G50" s="105" t="s">
        <v>26</v>
      </c>
      <c r="H50" s="8" t="s">
        <v>538</v>
      </c>
      <c r="I50" s="34"/>
      <c r="J50" s="71"/>
      <c r="K50" s="107" t="str">
        <f t="shared" si="2"/>
        <v>["鼻"] = "N",</v>
      </c>
      <c r="L50" s="186"/>
      <c r="M50" s="186"/>
      <c r="N50" s="186"/>
      <c r="P50" s="77">
        <f>P49+1</f>
        <v>45</v>
      </c>
      <c r="Q50" s="205" t="s">
        <v>511</v>
      </c>
      <c r="R50" s="32" t="str" cm="1">
        <f t="array" ref="R50" xml:space="preserve"> IFERROR( INDEX($D$5:$D$65, MATCH(TRUE, EXACT($Q50, $C$5:$C$65),0)), "")</f>
        <v/>
      </c>
      <c r="S50" s="107" t="str" cm="1">
        <f t="array" ref="S50" xml:space="preserve"> IFERROR( INDEX($G$9:$G$65, MATCH(TRUE, EXACT($Q50, $C$5:$C$65),0)), "")</f>
        <v/>
      </c>
      <c r="T50" s="179" t="str" cm="1">
        <f t="array" ref="T50" xml:space="preserve"> IFERROR( INDEX($F$5:$F$65, MATCH(TRUE, EXACT($Q50, $C$5:$C$65),0)), "")</f>
        <v/>
      </c>
      <c r="V50" s="77">
        <f>V49+1</f>
        <v>45</v>
      </c>
      <c r="W50" s="205" t="s">
        <v>503</v>
      </c>
      <c r="X50" s="32" t="str" cm="1">
        <f t="array" ref="X50" xml:space="preserve"> IFERROR( INDEX($D$5:$D$65, MATCH(TRUE, EXACT($W50, $C$5:$C$65),0)), "")</f>
        <v/>
      </c>
      <c r="Y50" s="107" t="str" cm="1">
        <f t="array" ref="Y50" xml:space="preserve"> IFERROR( INDEX($G$9:$G$65, MATCH(TRUE, EXACT($W50, $C$5:$C$65),0)), "")</f>
        <v/>
      </c>
      <c r="Z50" s="179" t="str" cm="1">
        <f t="array" ref="Z50" xml:space="preserve"> IFERROR( INDEX($F$5:$F$65, MATCH(TRUE, EXACT($W50, $C$5:$C$65),0)), "")</f>
        <v/>
      </c>
    </row>
    <row r="51" spans="2:39">
      <c r="B51" s="204">
        <f t="shared" ref="B51:B52" si="26" xml:space="preserve"> ROW() -4</f>
        <v>47</v>
      </c>
      <c r="C51" s="71" t="str">
        <f xml:space="preserve"> CHAR(32)</f>
        <v xml:space="preserve"> </v>
      </c>
      <c r="D51" s="32" t="s">
        <v>531</v>
      </c>
      <c r="E51" s="178" t="s">
        <v>532</v>
      </c>
      <c r="F51" s="34">
        <v>1</v>
      </c>
      <c r="G51" s="107">
        <v>1</v>
      </c>
      <c r="H51" s="172"/>
      <c r="I51" s="28" t="str">
        <f>_xlfn.CONCAT(F51:F56)</f>
        <v>123570</v>
      </c>
      <c r="J51" s="109" t="str">
        <f xml:space="preserve"> _xlfn.CONCAT(C51:C56)</f>
        <v xml:space="preserve"> 43657</v>
      </c>
      <c r="K51" s="107" t="str">
        <f t="shared" si="2"/>
        <v>["ˉ"] = "1",</v>
      </c>
      <c r="L51" s="194"/>
      <c r="M51" s="194"/>
      <c r="N51" s="173"/>
      <c r="P51" s="78">
        <f t="shared" ref="P51:P60" si="27">P50+1</f>
        <v>46</v>
      </c>
      <c r="Q51" s="218" t="s">
        <v>533</v>
      </c>
      <c r="R51" s="42" t="str" cm="1">
        <f t="array" ref="R51" xml:space="preserve"> IFERROR( INDEX($D$5:$D$65, MATCH(TRUE, EXACT($Q51, $C$5:$C$65),0)), "")</f>
        <v/>
      </c>
      <c r="S51" s="105" t="str" cm="1">
        <f t="array" ref="S51" xml:space="preserve"> IFERROR( INDEX($G$9:$G$65, MATCH(TRUE, EXACT($Q51, $C$5:$C$65),0)), "")</f>
        <v/>
      </c>
      <c r="T51" s="187" t="str" cm="1">
        <f t="array" ref="T51" xml:space="preserve"> IFERROR( INDEX($F$5:$F$65, MATCH(TRUE, EXACT($Q51, $C$5:$C$65),0)), "")</f>
        <v/>
      </c>
      <c r="V51" s="78">
        <f t="shared" ref="V51:V60" si="28">V50+1</f>
        <v>46</v>
      </c>
      <c r="W51" s="218" t="s">
        <v>534</v>
      </c>
      <c r="X51" s="42" t="str" cm="1">
        <f t="array" ref="X51" xml:space="preserve"> IFERROR( INDEX($D$5:$D$65, MATCH(TRUE, EXACT($W51, $C$5:$C$65),0)), "")</f>
        <v/>
      </c>
      <c r="Y51" s="105" t="str" cm="1">
        <f t="array" ref="Y51" xml:space="preserve"> IFERROR( INDEX($G$9:$G$65, MATCH(TRUE, EXACT($W51, $C$5:$C$65),0)), "")</f>
        <v/>
      </c>
      <c r="Z51" s="187" t="str" cm="1">
        <f t="array" ref="Z51" xml:space="preserve"> IFERROR( INDEX($F$5:$F$65, MATCH(TRUE, EXACT($W51, $C$5:$C$65),0)), "")</f>
        <v/>
      </c>
    </row>
    <row r="52" spans="2:39">
      <c r="B52" s="204">
        <f t="shared" si="26"/>
        <v>48</v>
      </c>
      <c r="C52" s="71">
        <v>4</v>
      </c>
      <c r="D52" s="32" t="s">
        <v>104</v>
      </c>
      <c r="E52" s="178" t="s">
        <v>104</v>
      </c>
      <c r="F52" s="34">
        <v>2</v>
      </c>
      <c r="G52" s="107">
        <v>2</v>
      </c>
      <c r="H52" s="172"/>
      <c r="I52" s="34"/>
      <c r="J52" s="71"/>
      <c r="K52" s="107" t="str">
        <f t="shared" si="2"/>
        <v>["ˋ"] = "2",</v>
      </c>
      <c r="L52" s="173"/>
      <c r="M52" s="173"/>
      <c r="N52" s="173"/>
      <c r="P52" s="98">
        <f t="shared" si="27"/>
        <v>47</v>
      </c>
      <c r="Q52" s="71"/>
      <c r="R52" s="32"/>
      <c r="S52" s="107"/>
      <c r="T52" s="117"/>
      <c r="V52" s="98">
        <f t="shared" si="28"/>
        <v>47</v>
      </c>
      <c r="W52" s="71"/>
      <c r="X52" s="32"/>
      <c r="Y52" s="107" t="str">
        <f t="shared" ref="Y52:Y60" si="29" xml:space="preserve"> IFERROR( INDEX($G$9:$G$65, MATCH($X52, $D$5:$D$65,0)), "")</f>
        <v/>
      </c>
      <c r="Z52" s="117" t="str">
        <f t="shared" ref="Z52:Z60" si="30" xml:space="preserve"> IFERROR( INDEX($F$5:$F$65, MATCH($X52, $D$5:$D$65,0)), "")</f>
        <v/>
      </c>
    </row>
    <row r="53" spans="2:39">
      <c r="B53" s="204">
        <f xml:space="preserve"> ROW() - 4</f>
        <v>49</v>
      </c>
      <c r="C53" s="71">
        <v>3</v>
      </c>
      <c r="D53" s="227" t="s">
        <v>526</v>
      </c>
      <c r="E53" s="178" t="s">
        <v>105</v>
      </c>
      <c r="F53" s="34">
        <v>3</v>
      </c>
      <c r="G53" s="107">
        <v>3</v>
      </c>
      <c r="H53" s="172"/>
      <c r="I53" s="34"/>
      <c r="J53" s="71"/>
      <c r="K53" s="107" t="str">
        <f t="shared" si="2"/>
        <v>["˪"] = "3",</v>
      </c>
      <c r="L53" s="173"/>
      <c r="M53" s="173"/>
      <c r="N53" s="173"/>
      <c r="P53" s="98">
        <f t="shared" si="27"/>
        <v>48</v>
      </c>
      <c r="Q53" s="71"/>
      <c r="R53" s="32"/>
      <c r="S53" s="107"/>
      <c r="T53" s="34"/>
      <c r="V53" s="98">
        <f t="shared" si="28"/>
        <v>48</v>
      </c>
      <c r="W53" s="71"/>
      <c r="X53" s="32"/>
      <c r="Y53" s="107" t="str">
        <f t="shared" si="29"/>
        <v/>
      </c>
      <c r="Z53" s="34" t="str">
        <f t="shared" si="30"/>
        <v/>
      </c>
    </row>
    <row r="54" spans="2:39">
      <c r="B54" s="204">
        <f t="shared" ref="B54:B56" si="31" xml:space="preserve"> ROW() - 4</f>
        <v>50</v>
      </c>
      <c r="C54" s="71">
        <v>6</v>
      </c>
      <c r="D54" s="32" t="s">
        <v>535</v>
      </c>
      <c r="E54" s="178" t="s">
        <v>106</v>
      </c>
      <c r="F54" s="34">
        <v>5</v>
      </c>
      <c r="G54" s="107">
        <v>5</v>
      </c>
      <c r="H54" s="172"/>
      <c r="I54" s="34"/>
      <c r="J54" s="71"/>
      <c r="K54" s="107" t="str">
        <f t="shared" si="2"/>
        <v>["ˊ"] = "5",</v>
      </c>
      <c r="L54" s="173"/>
      <c r="M54" s="173"/>
      <c r="N54" s="173"/>
      <c r="P54" s="98">
        <f t="shared" si="27"/>
        <v>49</v>
      </c>
      <c r="Q54" s="71"/>
      <c r="R54" s="32"/>
      <c r="S54" s="107"/>
      <c r="T54" s="34"/>
      <c r="V54" s="98">
        <f t="shared" si="28"/>
        <v>49</v>
      </c>
      <c r="W54" s="71"/>
      <c r="X54" s="32"/>
      <c r="Y54" s="107" t="str">
        <f t="shared" si="29"/>
        <v/>
      </c>
      <c r="Z54" s="34" t="str">
        <f t="shared" si="30"/>
        <v/>
      </c>
    </row>
    <row r="55" spans="2:39">
      <c r="B55" s="204">
        <f t="shared" si="31"/>
        <v>51</v>
      </c>
      <c r="C55" s="71">
        <v>5</v>
      </c>
      <c r="D55" s="227" t="s">
        <v>527</v>
      </c>
      <c r="E55" s="178" t="s">
        <v>107</v>
      </c>
      <c r="F55" s="34">
        <v>7</v>
      </c>
      <c r="G55" s="107">
        <v>7</v>
      </c>
      <c r="H55" s="172"/>
      <c r="I55" s="34"/>
      <c r="J55" s="71"/>
      <c r="K55" s="107" t="str">
        <f t="shared" si="2"/>
        <v>["˫"] = "7",</v>
      </c>
      <c r="L55" s="173"/>
      <c r="M55" s="173"/>
      <c r="N55" s="173"/>
      <c r="P55" s="98">
        <f t="shared" si="27"/>
        <v>50</v>
      </c>
      <c r="Q55" s="71"/>
      <c r="R55" s="32"/>
      <c r="S55" s="107"/>
      <c r="T55" s="34"/>
      <c r="V55" s="98">
        <f t="shared" si="28"/>
        <v>50</v>
      </c>
      <c r="W55" s="71"/>
      <c r="X55" s="32"/>
      <c r="Y55" s="107" t="str">
        <f t="shared" si="29"/>
        <v/>
      </c>
      <c r="Z55" s="34" t="str">
        <f t="shared" si="30"/>
        <v/>
      </c>
    </row>
    <row r="56" spans="2:39">
      <c r="B56" s="211">
        <f t="shared" si="31"/>
        <v>52</v>
      </c>
      <c r="C56" s="71">
        <v>7</v>
      </c>
      <c r="D56" s="32" t="s">
        <v>536</v>
      </c>
      <c r="E56" s="178" t="s">
        <v>108</v>
      </c>
      <c r="F56" s="34">
        <v>0</v>
      </c>
      <c r="G56" s="107">
        <v>0</v>
      </c>
      <c r="I56" s="44"/>
      <c r="J56" s="73"/>
      <c r="K56" s="107" t="str">
        <f t="shared" si="2"/>
        <v>["˙"] = "0",</v>
      </c>
      <c r="L56" s="196"/>
      <c r="M56" s="196"/>
      <c r="N56" s="173"/>
      <c r="P56" s="98">
        <f t="shared" si="27"/>
        <v>51</v>
      </c>
      <c r="Q56" s="71"/>
      <c r="R56" s="32"/>
      <c r="S56" s="107"/>
      <c r="T56" s="117"/>
      <c r="V56" s="98">
        <f t="shared" si="28"/>
        <v>51</v>
      </c>
      <c r="W56" s="71"/>
      <c r="X56" s="32"/>
      <c r="Y56" s="107" t="str">
        <f t="shared" si="29"/>
        <v/>
      </c>
      <c r="Z56" s="117" t="str">
        <f t="shared" si="30"/>
        <v/>
      </c>
    </row>
    <row r="57" spans="2:39">
      <c r="H57" s="228"/>
      <c r="P57" s="98">
        <f t="shared" si="27"/>
        <v>52</v>
      </c>
      <c r="Q57" s="71"/>
      <c r="R57" s="32"/>
      <c r="S57" s="107"/>
      <c r="T57" s="34"/>
      <c r="V57" s="98">
        <f t="shared" si="28"/>
        <v>52</v>
      </c>
      <c r="W57" s="71"/>
      <c r="X57" s="32"/>
      <c r="Y57" s="107" t="str">
        <f t="shared" si="29"/>
        <v/>
      </c>
      <c r="Z57" s="34" t="str">
        <f t="shared" si="30"/>
        <v/>
      </c>
    </row>
    <row r="58" spans="2:39">
      <c r="B58" s="219">
        <v>49</v>
      </c>
      <c r="C58" s="109"/>
      <c r="D58" s="26" t="s">
        <v>89</v>
      </c>
      <c r="E58" s="26"/>
      <c r="F58" s="28"/>
      <c r="G58" s="108"/>
      <c r="H58" s="228"/>
      <c r="I58" s="34"/>
      <c r="J58" s="34"/>
      <c r="K58" s="34"/>
      <c r="L58" s="229"/>
      <c r="M58" s="229"/>
      <c r="N58" s="229"/>
      <c r="P58" s="98">
        <f t="shared" si="27"/>
        <v>53</v>
      </c>
      <c r="Q58" s="71"/>
      <c r="R58" s="32"/>
      <c r="S58" s="107"/>
      <c r="T58" s="34"/>
      <c r="V58" s="98">
        <f t="shared" si="28"/>
        <v>53</v>
      </c>
      <c r="W58" s="71"/>
      <c r="X58" s="32"/>
      <c r="Y58" s="107" t="str">
        <f t="shared" si="29"/>
        <v/>
      </c>
      <c r="Z58" s="34" t="str">
        <f t="shared" si="30"/>
        <v/>
      </c>
    </row>
    <row r="59" spans="2:39">
      <c r="B59" s="204">
        <v>50</v>
      </c>
      <c r="C59" s="71"/>
      <c r="D59" s="32" t="s">
        <v>91</v>
      </c>
      <c r="E59" s="32"/>
      <c r="F59" s="34"/>
      <c r="G59" s="107"/>
      <c r="H59" s="228"/>
      <c r="I59" s="34"/>
      <c r="J59" s="34"/>
      <c r="K59" s="34"/>
      <c r="L59" s="229"/>
      <c r="M59" s="229"/>
      <c r="N59" s="229"/>
      <c r="P59" s="98">
        <f t="shared" si="27"/>
        <v>54</v>
      </c>
      <c r="Q59" s="71"/>
      <c r="R59" s="32"/>
      <c r="S59" s="107"/>
      <c r="T59" s="34"/>
      <c r="V59" s="98">
        <f t="shared" si="28"/>
        <v>54</v>
      </c>
      <c r="W59" s="71"/>
      <c r="X59" s="32"/>
      <c r="Y59" s="107" t="str">
        <f t="shared" si="29"/>
        <v/>
      </c>
      <c r="Z59" s="34" t="str">
        <f t="shared" si="30"/>
        <v/>
      </c>
      <c r="AI59" s="230"/>
      <c r="AJ59" s="230"/>
      <c r="AK59" s="230"/>
      <c r="AL59" s="230"/>
    </row>
    <row r="60" spans="2:39">
      <c r="B60" s="204">
        <v>51</v>
      </c>
      <c r="C60" s="71"/>
      <c r="D60" s="32" t="s">
        <v>109</v>
      </c>
      <c r="E60" s="32"/>
      <c r="F60" s="34"/>
      <c r="G60" s="107"/>
      <c r="H60" s="228"/>
      <c r="I60" s="34"/>
      <c r="J60" s="34"/>
      <c r="K60" s="34"/>
      <c r="L60" s="229"/>
      <c r="M60" s="229"/>
      <c r="N60" s="229"/>
      <c r="P60" s="98">
        <f t="shared" si="27"/>
        <v>55</v>
      </c>
      <c r="Q60" s="71"/>
      <c r="R60" s="32"/>
      <c r="S60" s="107"/>
      <c r="T60" s="117"/>
      <c r="V60" s="98">
        <f t="shared" si="28"/>
        <v>55</v>
      </c>
      <c r="W60" s="71"/>
      <c r="X60" s="32"/>
      <c r="Y60" s="107" t="str">
        <f t="shared" si="29"/>
        <v/>
      </c>
      <c r="Z60" s="117" t="str">
        <f t="shared" si="30"/>
        <v/>
      </c>
      <c r="AI60" s="231">
        <v>5</v>
      </c>
      <c r="AJ60" s="231">
        <v>3</v>
      </c>
      <c r="AK60" s="230"/>
      <c r="AL60" s="230"/>
    </row>
    <row r="61" spans="2:39">
      <c r="B61" s="211">
        <v>52</v>
      </c>
      <c r="C61" s="73"/>
      <c r="D61" s="42" t="s">
        <v>284</v>
      </c>
      <c r="E61" s="42"/>
      <c r="F61" s="44"/>
      <c r="G61" s="105"/>
      <c r="H61" s="228"/>
      <c r="I61" s="34"/>
      <c r="J61" s="34"/>
      <c r="K61" s="34"/>
      <c r="L61" s="229"/>
      <c r="M61" s="229"/>
      <c r="N61" s="229"/>
      <c r="AI61" s="231"/>
      <c r="AJ61" s="231"/>
      <c r="AK61" s="230"/>
      <c r="AL61" s="230"/>
    </row>
    <row r="62" spans="2:39">
      <c r="B62" s="204">
        <v>53</v>
      </c>
      <c r="C62" s="71"/>
      <c r="D62" s="232" t="s">
        <v>399</v>
      </c>
      <c r="E62" s="232" t="s">
        <v>128</v>
      </c>
      <c r="F62" s="34"/>
      <c r="G62" s="107" t="s">
        <v>21</v>
      </c>
      <c r="H62" s="228"/>
      <c r="I62" s="34"/>
      <c r="J62" s="34"/>
      <c r="K62" s="34"/>
      <c r="L62" s="229"/>
      <c r="M62" s="229"/>
      <c r="N62" s="229"/>
      <c r="AI62" s="231">
        <v>1</v>
      </c>
      <c r="AJ62" s="231">
        <v>13</v>
      </c>
      <c r="AK62" s="230"/>
      <c r="AL62" s="230"/>
    </row>
    <row r="63" spans="2:39">
      <c r="B63" s="204">
        <v>54</v>
      </c>
      <c r="C63" s="71"/>
      <c r="D63" s="232" t="s">
        <v>407</v>
      </c>
      <c r="E63" s="232" t="s">
        <v>130</v>
      </c>
      <c r="F63" s="34"/>
      <c r="G63" s="107" t="s">
        <v>340</v>
      </c>
      <c r="H63" s="228"/>
      <c r="I63" s="34"/>
      <c r="J63" s="34"/>
      <c r="K63" s="34"/>
      <c r="L63" s="229"/>
      <c r="M63" s="229"/>
      <c r="N63" s="229"/>
      <c r="AI63" s="230"/>
      <c r="AJ63" s="230"/>
      <c r="AK63" s="230"/>
      <c r="AL63" s="230"/>
      <c r="AM63" s="138" t="s">
        <v>364</v>
      </c>
    </row>
    <row r="64" spans="2:39">
      <c r="B64" s="204">
        <v>55</v>
      </c>
      <c r="C64" s="71"/>
      <c r="D64" s="232" t="s">
        <v>424</v>
      </c>
      <c r="E64" s="232" t="s">
        <v>132</v>
      </c>
      <c r="F64" s="34"/>
      <c r="G64" s="107" t="s">
        <v>321</v>
      </c>
      <c r="H64" s="228"/>
      <c r="I64" s="34"/>
      <c r="J64" s="34"/>
      <c r="K64" s="34"/>
      <c r="L64" s="229"/>
      <c r="M64" s="229"/>
      <c r="N64" s="229"/>
      <c r="AI64" s="230"/>
      <c r="AJ64" s="230"/>
      <c r="AK64" s="230"/>
      <c r="AL64" s="230"/>
    </row>
    <row r="65" spans="1:48">
      <c r="B65" s="204">
        <f>B64+1</f>
        <v>56</v>
      </c>
      <c r="C65" s="71"/>
      <c r="D65" s="232" t="s">
        <v>52</v>
      </c>
      <c r="E65" s="232" t="s">
        <v>134</v>
      </c>
      <c r="F65" s="34"/>
      <c r="G65" s="107" t="s">
        <v>53</v>
      </c>
      <c r="I65" s="34"/>
      <c r="J65" s="34"/>
      <c r="K65" s="34"/>
      <c r="L65" s="229"/>
      <c r="M65" s="229"/>
      <c r="N65" s="229"/>
      <c r="AI65" s="230"/>
      <c r="AJ65" s="230"/>
      <c r="AK65" s="230"/>
      <c r="AL65" s="230"/>
    </row>
    <row r="66" spans="1:48" s="139" customFormat="1">
      <c r="A66" s="138"/>
      <c r="B66" s="204">
        <f t="shared" ref="B66:B67" si="32" xml:space="preserve"> ROW() -4</f>
        <v>62</v>
      </c>
      <c r="C66" s="71" t="str">
        <f xml:space="preserve"> CHAR(32)</f>
        <v xml:space="preserve"> </v>
      </c>
      <c r="D66" s="32" t="s">
        <v>531</v>
      </c>
      <c r="E66" s="178" t="s">
        <v>532</v>
      </c>
      <c r="F66" s="34">
        <v>1</v>
      </c>
      <c r="G66" s="107">
        <v>1</v>
      </c>
      <c r="L66" s="141"/>
      <c r="M66" s="141"/>
      <c r="N66" s="141"/>
      <c r="O66" s="138"/>
      <c r="P66" s="138"/>
      <c r="R66" s="8"/>
      <c r="S66" s="140"/>
      <c r="U66" s="138"/>
      <c r="V66" s="138"/>
      <c r="X66" s="8"/>
      <c r="Y66" s="140"/>
      <c r="AA66" s="138"/>
      <c r="AB66" s="138"/>
      <c r="AC66" s="138"/>
      <c r="AD66" s="138"/>
      <c r="AE66" s="138"/>
      <c r="AF66" s="138"/>
      <c r="AG66" s="138"/>
      <c r="AH66" s="138"/>
      <c r="AI66" s="148"/>
      <c r="AJ66" s="138"/>
      <c r="AK66" s="138"/>
      <c r="AL66" s="138"/>
      <c r="AM66" s="138"/>
      <c r="AN66" s="138"/>
      <c r="AO66" s="138"/>
      <c r="AP66" s="138"/>
      <c r="AQ66" s="145"/>
      <c r="AR66" s="145"/>
      <c r="AS66" s="145"/>
      <c r="AT66" s="145"/>
      <c r="AU66" s="145"/>
      <c r="AV66" s="145"/>
    </row>
    <row r="67" spans="1:48" s="139" customFormat="1">
      <c r="A67" s="138"/>
      <c r="B67" s="204">
        <f t="shared" si="32"/>
        <v>63</v>
      </c>
      <c r="C67" s="71">
        <v>4</v>
      </c>
      <c r="D67" s="32" t="s">
        <v>104</v>
      </c>
      <c r="E67" s="178" t="s">
        <v>104</v>
      </c>
      <c r="F67" s="34">
        <v>2</v>
      </c>
      <c r="G67" s="107">
        <v>2</v>
      </c>
      <c r="L67" s="141"/>
      <c r="M67" s="141"/>
      <c r="N67" s="141"/>
      <c r="O67" s="138"/>
      <c r="P67" s="138"/>
      <c r="R67" s="8"/>
      <c r="S67" s="140"/>
      <c r="U67" s="138"/>
      <c r="V67" s="138"/>
      <c r="X67" s="8"/>
      <c r="Y67" s="140"/>
      <c r="AA67" s="138"/>
      <c r="AB67" s="138"/>
      <c r="AC67" s="138"/>
      <c r="AD67" s="138"/>
      <c r="AE67" s="138"/>
      <c r="AF67" s="138"/>
      <c r="AG67" s="138"/>
      <c r="AH67" s="138"/>
      <c r="AI67" s="148"/>
      <c r="AJ67" s="138"/>
      <c r="AK67" s="138"/>
      <c r="AL67" s="138"/>
      <c r="AM67" s="138"/>
      <c r="AN67" s="138"/>
      <c r="AO67" s="138"/>
      <c r="AP67" s="138"/>
      <c r="AQ67" s="145"/>
      <c r="AR67" s="145"/>
      <c r="AS67" s="145"/>
      <c r="AT67" s="145"/>
      <c r="AU67" s="145"/>
      <c r="AV67" s="145"/>
    </row>
    <row r="68" spans="1:48" s="139" customFormat="1">
      <c r="A68" s="138"/>
      <c r="B68" s="204">
        <f xml:space="preserve"> ROW() - 4</f>
        <v>64</v>
      </c>
      <c r="C68" s="71">
        <v>3</v>
      </c>
      <c r="D68" s="32" t="s">
        <v>523</v>
      </c>
      <c r="E68" s="178" t="s">
        <v>105</v>
      </c>
      <c r="F68" s="34">
        <v>3</v>
      </c>
      <c r="G68" s="107">
        <v>3</v>
      </c>
      <c r="L68" s="141"/>
      <c r="M68" s="141"/>
      <c r="N68" s="141"/>
      <c r="O68" s="138"/>
      <c r="P68" s="138"/>
      <c r="R68" s="8"/>
      <c r="S68" s="140"/>
      <c r="U68" s="138"/>
      <c r="V68" s="138"/>
      <c r="X68" s="8"/>
      <c r="Y68" s="140"/>
      <c r="AA68" s="138"/>
      <c r="AB68" s="138"/>
      <c r="AC68" s="138"/>
      <c r="AD68" s="138"/>
      <c r="AE68" s="138"/>
      <c r="AF68" s="138"/>
      <c r="AG68" s="138"/>
      <c r="AH68" s="138"/>
      <c r="AI68" s="148"/>
      <c r="AJ68" s="138"/>
      <c r="AK68" s="138"/>
      <c r="AL68" s="138"/>
      <c r="AM68" s="138"/>
      <c r="AN68" s="138"/>
      <c r="AO68" s="138"/>
      <c r="AP68" s="138"/>
      <c r="AQ68" s="145"/>
      <c r="AR68" s="145"/>
      <c r="AS68" s="145"/>
      <c r="AT68" s="145"/>
      <c r="AU68" s="145"/>
      <c r="AV68" s="145"/>
    </row>
    <row r="69" spans="1:48" s="139" customFormat="1">
      <c r="A69" s="138"/>
      <c r="B69" s="204">
        <f t="shared" ref="B69:B71" si="33" xml:space="preserve"> ROW() - 4</f>
        <v>65</v>
      </c>
      <c r="C69" s="71">
        <v>6</v>
      </c>
      <c r="D69" s="32" t="s">
        <v>537</v>
      </c>
      <c r="E69" s="178" t="s">
        <v>106</v>
      </c>
      <c r="F69" s="34">
        <v>5</v>
      </c>
      <c r="G69" s="107">
        <v>5</v>
      </c>
      <c r="L69" s="141"/>
      <c r="M69" s="141"/>
      <c r="N69" s="141"/>
      <c r="O69" s="138"/>
      <c r="P69" s="138"/>
      <c r="R69" s="8"/>
      <c r="S69" s="140"/>
      <c r="U69" s="138"/>
      <c r="V69" s="138"/>
      <c r="X69" s="8"/>
      <c r="Y69" s="140"/>
      <c r="AA69" s="138"/>
      <c r="AB69" s="138"/>
      <c r="AC69" s="138"/>
      <c r="AD69" s="138"/>
      <c r="AE69" s="138"/>
      <c r="AF69" s="138"/>
      <c r="AG69" s="138"/>
      <c r="AH69" s="138"/>
      <c r="AI69" s="148"/>
      <c r="AJ69" s="138"/>
      <c r="AK69" s="138"/>
      <c r="AL69" s="138"/>
      <c r="AM69" s="138"/>
      <c r="AN69" s="138"/>
      <c r="AO69" s="138"/>
      <c r="AP69" s="138"/>
      <c r="AQ69" s="145"/>
      <c r="AR69" s="145"/>
      <c r="AS69" s="145"/>
      <c r="AT69" s="145"/>
      <c r="AU69" s="145"/>
      <c r="AV69" s="145"/>
    </row>
    <row r="70" spans="1:48" s="139" customFormat="1">
      <c r="A70" s="138"/>
      <c r="B70" s="204">
        <f t="shared" si="33"/>
        <v>66</v>
      </c>
      <c r="C70" s="71">
        <v>5</v>
      </c>
      <c r="D70" s="227" t="s">
        <v>529</v>
      </c>
      <c r="E70" s="178" t="s">
        <v>107</v>
      </c>
      <c r="F70" s="34">
        <v>7</v>
      </c>
      <c r="G70" s="107">
        <v>7</v>
      </c>
      <c r="L70" s="141"/>
      <c r="M70" s="141"/>
      <c r="N70" s="141"/>
      <c r="O70" s="138"/>
      <c r="P70" s="138"/>
      <c r="R70" s="8"/>
      <c r="S70" s="140"/>
      <c r="U70" s="138"/>
      <c r="V70" s="138"/>
      <c r="X70" s="8"/>
      <c r="Y70" s="140"/>
      <c r="AA70" s="138"/>
      <c r="AB70" s="138"/>
      <c r="AC70" s="138"/>
      <c r="AD70" s="138"/>
      <c r="AE70" s="138"/>
      <c r="AF70" s="138"/>
      <c r="AG70" s="138"/>
      <c r="AH70" s="138"/>
      <c r="AI70" s="148"/>
      <c r="AJ70" s="138"/>
      <c r="AK70" s="138"/>
      <c r="AL70" s="138"/>
      <c r="AM70" s="138"/>
      <c r="AN70" s="138"/>
      <c r="AO70" s="138"/>
      <c r="AP70" s="138"/>
      <c r="AQ70" s="145"/>
      <c r="AR70" s="145"/>
      <c r="AS70" s="145"/>
      <c r="AT70" s="145"/>
      <c r="AU70" s="145"/>
      <c r="AV70" s="145"/>
    </row>
    <row r="71" spans="1:48" s="139" customFormat="1">
      <c r="A71" s="138"/>
      <c r="B71" s="211">
        <f t="shared" si="33"/>
        <v>67</v>
      </c>
      <c r="C71" s="73">
        <v>7</v>
      </c>
      <c r="D71" s="42" t="s">
        <v>536</v>
      </c>
      <c r="E71" s="183" t="s">
        <v>108</v>
      </c>
      <c r="F71" s="44">
        <v>0</v>
      </c>
      <c r="G71" s="105">
        <v>8</v>
      </c>
      <c r="L71" s="141"/>
      <c r="M71" s="141"/>
      <c r="N71" s="141"/>
      <c r="O71" s="138"/>
      <c r="P71" s="138"/>
      <c r="R71" s="8"/>
      <c r="S71" s="140"/>
      <c r="U71" s="138"/>
      <c r="V71" s="138"/>
      <c r="X71" s="8"/>
      <c r="Y71" s="140"/>
      <c r="AA71" s="138"/>
      <c r="AB71" s="138"/>
      <c r="AC71" s="138"/>
      <c r="AD71" s="138"/>
      <c r="AE71" s="138"/>
      <c r="AF71" s="138"/>
      <c r="AG71" s="138"/>
      <c r="AH71" s="138"/>
      <c r="AI71" s="148"/>
      <c r="AJ71" s="138"/>
      <c r="AK71" s="138"/>
      <c r="AL71" s="138"/>
      <c r="AM71" s="138"/>
      <c r="AN71" s="138"/>
      <c r="AO71" s="138"/>
      <c r="AP71" s="138"/>
      <c r="AQ71" s="145"/>
      <c r="AR71" s="145"/>
      <c r="AS71" s="145"/>
      <c r="AT71" s="145"/>
      <c r="AU71" s="145"/>
      <c r="AV71" s="145"/>
    </row>
    <row r="73" spans="1:48" s="139" customFormat="1">
      <c r="A73" s="138"/>
      <c r="B73" s="138"/>
      <c r="D73" s="8"/>
      <c r="G73" s="140"/>
      <c r="L73" s="141"/>
      <c r="M73" s="141"/>
      <c r="N73" s="141"/>
      <c r="O73" s="138"/>
      <c r="P73" s="138"/>
      <c r="R73" s="8"/>
      <c r="S73" s="140"/>
      <c r="U73" s="138"/>
      <c r="V73" s="138"/>
      <c r="X73" s="8"/>
      <c r="Y73" s="140"/>
      <c r="AA73" s="138"/>
      <c r="AB73" s="138"/>
      <c r="AC73" s="138"/>
      <c r="AD73" s="138"/>
      <c r="AE73" s="138"/>
      <c r="AF73" s="138"/>
      <c r="AG73" s="138"/>
      <c r="AH73" s="138"/>
      <c r="AI73" s="148"/>
      <c r="AJ73" s="138"/>
      <c r="AK73" s="138"/>
      <c r="AL73" s="138"/>
      <c r="AM73" s="138"/>
      <c r="AN73" s="138"/>
      <c r="AO73" s="138"/>
      <c r="AP73" s="138"/>
      <c r="AQ73" s="145"/>
      <c r="AR73" s="145"/>
      <c r="AS73" s="145"/>
      <c r="AT73" s="145"/>
      <c r="AU73" s="145"/>
      <c r="AV73" s="145"/>
    </row>
    <row r="74" spans="1:48" s="139" customFormat="1">
      <c r="A74" s="138"/>
      <c r="B74" s="138"/>
      <c r="D74" s="8"/>
      <c r="E74" s="8"/>
      <c r="G74" s="140"/>
      <c r="L74" s="141"/>
      <c r="M74" s="141"/>
      <c r="N74" s="141"/>
      <c r="O74" s="138"/>
      <c r="P74" s="138"/>
      <c r="R74" s="8"/>
      <c r="S74" s="140"/>
      <c r="U74" s="138"/>
      <c r="V74" s="138"/>
      <c r="X74" s="8"/>
      <c r="Y74" s="140"/>
      <c r="AA74" s="138"/>
      <c r="AB74" s="138"/>
      <c r="AC74" s="138"/>
      <c r="AD74" s="138"/>
      <c r="AE74" s="138"/>
      <c r="AF74" s="138"/>
      <c r="AG74" s="138"/>
      <c r="AH74" s="138"/>
      <c r="AI74" s="148"/>
      <c r="AJ74" s="138"/>
      <c r="AK74" s="138"/>
      <c r="AL74" s="138"/>
      <c r="AM74" s="138"/>
      <c r="AN74" s="138"/>
      <c r="AO74" s="138"/>
      <c r="AP74" s="138"/>
      <c r="AQ74" s="145"/>
      <c r="AR74" s="145"/>
      <c r="AS74" s="145"/>
      <c r="AT74" s="145"/>
      <c r="AU74" s="145"/>
      <c r="AV74" s="145"/>
    </row>
    <row r="75" spans="1:48" s="139" customFormat="1">
      <c r="A75" s="138"/>
      <c r="B75" s="138"/>
      <c r="D75" s="8"/>
      <c r="E75" s="8"/>
      <c r="G75" s="140"/>
      <c r="L75" s="141"/>
      <c r="M75" s="141"/>
      <c r="N75" s="141"/>
      <c r="O75" s="138"/>
      <c r="P75" s="138"/>
      <c r="R75" s="8"/>
      <c r="S75" s="140"/>
      <c r="U75" s="138"/>
      <c r="V75" s="138"/>
      <c r="X75" s="8"/>
      <c r="Y75" s="140"/>
      <c r="AA75" s="138"/>
      <c r="AB75" s="138"/>
      <c r="AC75" s="138"/>
      <c r="AD75" s="138"/>
      <c r="AE75" s="138"/>
      <c r="AF75" s="138"/>
      <c r="AG75" s="138"/>
      <c r="AH75" s="138"/>
      <c r="AI75" s="148"/>
      <c r="AJ75" s="138"/>
      <c r="AK75" s="138"/>
      <c r="AL75" s="138"/>
      <c r="AM75" s="138"/>
      <c r="AN75" s="138"/>
      <c r="AO75" s="138"/>
      <c r="AP75" s="138"/>
      <c r="AQ75" s="145"/>
      <c r="AR75" s="145"/>
      <c r="AS75" s="145"/>
      <c r="AT75" s="145"/>
      <c r="AU75" s="145"/>
      <c r="AV75" s="145"/>
    </row>
    <row r="76" spans="1:48" s="139" customFormat="1">
      <c r="A76" s="138"/>
      <c r="B76" s="138"/>
      <c r="D76" s="8"/>
      <c r="E76" s="8"/>
      <c r="G76" s="140"/>
      <c r="L76" s="141"/>
      <c r="M76" s="141"/>
      <c r="N76" s="141"/>
      <c r="O76" s="138"/>
      <c r="P76" s="138"/>
      <c r="R76" s="8"/>
      <c r="S76" s="140"/>
      <c r="U76" s="138"/>
      <c r="V76" s="138"/>
      <c r="X76" s="8"/>
      <c r="Y76" s="140"/>
      <c r="AA76" s="138"/>
      <c r="AB76" s="138"/>
      <c r="AC76" s="138"/>
      <c r="AD76" s="138"/>
      <c r="AE76" s="138"/>
      <c r="AF76" s="138"/>
      <c r="AG76" s="138"/>
      <c r="AH76" s="138"/>
      <c r="AI76" s="148"/>
      <c r="AJ76" s="138"/>
      <c r="AK76" s="138"/>
      <c r="AL76" s="138"/>
      <c r="AM76" s="138"/>
      <c r="AN76" s="138"/>
      <c r="AO76" s="138"/>
      <c r="AP76" s="138"/>
      <c r="AQ76" s="145"/>
      <c r="AR76" s="145"/>
      <c r="AS76" s="145"/>
      <c r="AT76" s="145"/>
      <c r="AU76" s="145"/>
      <c r="AV76" s="145"/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F233-E069-4C88-B15E-9EE0BAC6ED53}">
  <sheetPr>
    <tabColor rgb="FFFF0000"/>
  </sheetPr>
  <dimension ref="B1:BX72"/>
  <sheetViews>
    <sheetView workbookViewId="0">
      <selection activeCell="C21" sqref="C21"/>
    </sheetView>
  </sheetViews>
  <sheetFormatPr defaultColWidth="10.8984375" defaultRowHeight="39"/>
  <cols>
    <col min="1" max="1" width="6.3984375" style="94" customWidth="1"/>
    <col min="2" max="2" width="6.796875" style="94" customWidth="1"/>
    <col min="3" max="3" width="13" style="8" customWidth="1"/>
    <col min="4" max="5" width="13" style="10" customWidth="1"/>
    <col min="6" max="6" width="13" style="9" customWidth="1"/>
    <col min="7" max="7" width="6.3984375" style="94" customWidth="1"/>
    <col min="8" max="8" width="6.796875" style="94" customWidth="1"/>
    <col min="9" max="10" width="12.69921875" style="95" customWidth="1"/>
    <col min="11" max="11" width="12.69921875" style="10" customWidth="1"/>
    <col min="12" max="12" width="12.69921875" style="9" customWidth="1"/>
    <col min="13" max="13" width="6.3984375" style="94" customWidth="1"/>
    <col min="14" max="14" width="6.796875" style="94" customWidth="1"/>
    <col min="15" max="16" width="12.69921875" style="95" customWidth="1"/>
    <col min="17" max="17" width="12.69921875" style="10" customWidth="1"/>
    <col min="18" max="18" width="12.69921875" style="9" customWidth="1"/>
    <col min="19" max="19" width="7.59765625" style="94" customWidth="1"/>
    <col min="20" max="20" width="8.5" style="94" customWidth="1"/>
    <col min="21" max="21" width="27" style="94" customWidth="1"/>
    <col min="22" max="16384" width="10.8984375" style="94"/>
  </cols>
  <sheetData>
    <row r="1" spans="2:76">
      <c r="B1" s="103" t="s">
        <v>5</v>
      </c>
      <c r="H1" s="103" t="s">
        <v>285</v>
      </c>
      <c r="N1" s="103" t="s">
        <v>363</v>
      </c>
    </row>
    <row r="2" spans="2:76" s="127" customFormat="1" ht="30.75" thickBot="1">
      <c r="B2" s="135" t="s">
        <v>14</v>
      </c>
      <c r="C2" s="132" t="s">
        <v>15</v>
      </c>
      <c r="D2" s="131" t="s">
        <v>19</v>
      </c>
      <c r="E2" s="134" t="s">
        <v>17</v>
      </c>
      <c r="F2" s="133" t="s">
        <v>16</v>
      </c>
      <c r="H2" s="102" t="s">
        <v>14</v>
      </c>
      <c r="I2" s="101" t="s">
        <v>147</v>
      </c>
      <c r="J2" s="101" t="s">
        <v>146</v>
      </c>
      <c r="K2" s="100" t="s">
        <v>17</v>
      </c>
      <c r="L2" s="99" t="s">
        <v>16</v>
      </c>
      <c r="N2" s="102" t="s">
        <v>14</v>
      </c>
      <c r="O2" s="132" t="s">
        <v>15</v>
      </c>
      <c r="P2" s="131" t="s">
        <v>362</v>
      </c>
      <c r="Q2" s="100" t="s">
        <v>17</v>
      </c>
      <c r="R2" s="99" t="s">
        <v>16</v>
      </c>
      <c r="U2" s="130" t="s">
        <v>14</v>
      </c>
      <c r="V2" s="128">
        <v>1</v>
      </c>
      <c r="W2" s="128">
        <f t="shared" ref="W2:BB2" si="0">V2+1</f>
        <v>2</v>
      </c>
      <c r="X2" s="128">
        <f t="shared" si="0"/>
        <v>3</v>
      </c>
      <c r="Y2" s="128">
        <f t="shared" si="0"/>
        <v>4</v>
      </c>
      <c r="Z2" s="129">
        <f t="shared" si="0"/>
        <v>5</v>
      </c>
      <c r="AA2" s="129">
        <f t="shared" si="0"/>
        <v>6</v>
      </c>
      <c r="AB2" s="129">
        <f t="shared" si="0"/>
        <v>7</v>
      </c>
      <c r="AC2" s="129">
        <f t="shared" si="0"/>
        <v>8</v>
      </c>
      <c r="AD2" s="128">
        <f t="shared" si="0"/>
        <v>9</v>
      </c>
      <c r="AE2" s="128">
        <f t="shared" si="0"/>
        <v>10</v>
      </c>
      <c r="AF2" s="128">
        <f t="shared" si="0"/>
        <v>11</v>
      </c>
      <c r="AG2" s="128">
        <f t="shared" si="0"/>
        <v>12</v>
      </c>
      <c r="AH2" s="129">
        <f t="shared" si="0"/>
        <v>13</v>
      </c>
      <c r="AI2" s="129">
        <f t="shared" si="0"/>
        <v>14</v>
      </c>
      <c r="AJ2" s="129">
        <f t="shared" si="0"/>
        <v>15</v>
      </c>
      <c r="AK2" s="129">
        <f t="shared" si="0"/>
        <v>16</v>
      </c>
      <c r="AL2" s="128">
        <f t="shared" si="0"/>
        <v>17</v>
      </c>
      <c r="AM2" s="128">
        <f t="shared" si="0"/>
        <v>18</v>
      </c>
      <c r="AN2" s="128">
        <f t="shared" si="0"/>
        <v>19</v>
      </c>
      <c r="AO2" s="128">
        <f t="shared" si="0"/>
        <v>20</v>
      </c>
      <c r="AP2" s="129">
        <f t="shared" si="0"/>
        <v>21</v>
      </c>
      <c r="AQ2" s="128">
        <f t="shared" si="0"/>
        <v>22</v>
      </c>
      <c r="AR2" s="128">
        <f t="shared" si="0"/>
        <v>23</v>
      </c>
      <c r="AS2" s="128">
        <f t="shared" si="0"/>
        <v>24</v>
      </c>
      <c r="AT2" s="128">
        <f t="shared" si="0"/>
        <v>25</v>
      </c>
      <c r="AU2" s="128">
        <f t="shared" si="0"/>
        <v>26</v>
      </c>
      <c r="AV2" s="128">
        <f t="shared" si="0"/>
        <v>27</v>
      </c>
      <c r="AW2" s="128">
        <f t="shared" si="0"/>
        <v>28</v>
      </c>
      <c r="AX2" s="128">
        <f t="shared" si="0"/>
        <v>29</v>
      </c>
      <c r="AY2" s="128">
        <f t="shared" si="0"/>
        <v>30</v>
      </c>
      <c r="AZ2" s="128">
        <f t="shared" si="0"/>
        <v>31</v>
      </c>
      <c r="BA2" s="128">
        <f t="shared" si="0"/>
        <v>32</v>
      </c>
      <c r="BB2" s="128">
        <f t="shared" si="0"/>
        <v>33</v>
      </c>
      <c r="BC2" s="128">
        <f t="shared" ref="BC2:BX2" si="1">BB2+1</f>
        <v>34</v>
      </c>
      <c r="BD2" s="128">
        <f t="shared" si="1"/>
        <v>35</v>
      </c>
      <c r="BE2" s="128">
        <f t="shared" si="1"/>
        <v>36</v>
      </c>
      <c r="BF2" s="128">
        <f t="shared" si="1"/>
        <v>37</v>
      </c>
      <c r="BG2" s="128">
        <f t="shared" si="1"/>
        <v>38</v>
      </c>
      <c r="BH2" s="128">
        <f t="shared" si="1"/>
        <v>39</v>
      </c>
      <c r="BI2" s="128">
        <f t="shared" si="1"/>
        <v>40</v>
      </c>
      <c r="BJ2" s="128">
        <f t="shared" si="1"/>
        <v>41</v>
      </c>
      <c r="BK2" s="128">
        <f t="shared" si="1"/>
        <v>42</v>
      </c>
      <c r="BL2" s="128">
        <f t="shared" si="1"/>
        <v>43</v>
      </c>
      <c r="BM2" s="128">
        <f t="shared" si="1"/>
        <v>44</v>
      </c>
      <c r="BN2" s="128">
        <f t="shared" si="1"/>
        <v>45</v>
      </c>
      <c r="BO2" s="128">
        <f t="shared" si="1"/>
        <v>46</v>
      </c>
      <c r="BP2" s="128">
        <f t="shared" si="1"/>
        <v>47</v>
      </c>
      <c r="BQ2" s="128">
        <f t="shared" si="1"/>
        <v>48</v>
      </c>
      <c r="BR2" s="128">
        <f t="shared" si="1"/>
        <v>49</v>
      </c>
      <c r="BS2" s="128">
        <f t="shared" si="1"/>
        <v>50</v>
      </c>
      <c r="BT2" s="128">
        <f t="shared" si="1"/>
        <v>51</v>
      </c>
      <c r="BU2" s="128">
        <f t="shared" si="1"/>
        <v>52</v>
      </c>
      <c r="BV2" s="128">
        <f t="shared" si="1"/>
        <v>53</v>
      </c>
      <c r="BW2" s="128">
        <f t="shared" si="1"/>
        <v>54</v>
      </c>
      <c r="BX2" s="128">
        <f t="shared" si="1"/>
        <v>55</v>
      </c>
    </row>
    <row r="3" spans="2:76" ht="39.75" thickTop="1">
      <c r="B3" s="98">
        <v>1</v>
      </c>
      <c r="C3" s="32" t="s">
        <v>20</v>
      </c>
      <c r="D3" s="71" t="s">
        <v>361</v>
      </c>
      <c r="E3" s="34" t="s">
        <v>21</v>
      </c>
      <c r="F3" s="107" t="s">
        <v>217</v>
      </c>
      <c r="H3" s="98">
        <v>1</v>
      </c>
      <c r="I3" s="97" t="s">
        <v>54</v>
      </c>
      <c r="J3" s="97" t="s">
        <v>360</v>
      </c>
      <c r="K3" s="34" t="s">
        <v>279</v>
      </c>
      <c r="L3" s="107" t="s">
        <v>279</v>
      </c>
      <c r="N3" s="98">
        <v>1</v>
      </c>
      <c r="O3" s="97" t="s">
        <v>359</v>
      </c>
      <c r="P3" s="118" t="s">
        <v>351</v>
      </c>
      <c r="Q3" s="96" t="s">
        <v>351</v>
      </c>
      <c r="R3" s="33" t="s">
        <v>351</v>
      </c>
      <c r="U3" s="126" t="s">
        <v>15</v>
      </c>
      <c r="V3" s="125" t="str" cm="1">
        <f t="array" aca="1" ref="V3" ca="1" xml:space="preserve"> INDIRECT( ADDRESS( ROW($C$2) + V$2, COLUMN($C$2)) )</f>
        <v>ㄅ</v>
      </c>
      <c r="W3" s="125" t="str" cm="1">
        <f t="array" aca="1" ref="W3" ca="1" xml:space="preserve"> INDIRECT( ADDRESS( ROW($C$2) + W$2, COLUMN($C$2)) )</f>
        <v>ㄆ</v>
      </c>
      <c r="X3" s="125" t="str" cm="1">
        <f t="array" aca="1" ref="X3" ca="1" xml:space="preserve"> INDIRECT( ADDRESS( ROW($C$2) + X$2, COLUMN($C$2)) )</f>
        <v>ㆠ</v>
      </c>
      <c r="Y3" s="125" t="str" cm="1">
        <f t="array" aca="1" ref="Y3" ca="1" xml:space="preserve"> INDIRECT( ADDRESS( ROW($C$2) + Y$2, COLUMN($C$2)) )</f>
        <v>ㄇ</v>
      </c>
      <c r="Z3" s="125" t="str" cm="1">
        <f t="array" aca="1" ref="Z3" ca="1" xml:space="preserve"> INDIRECT( ADDRESS( ROW($C$2) + Z$2, COLUMN($C$2)) )</f>
        <v>ㄉ</v>
      </c>
      <c r="AA3" s="125" t="str" cm="1">
        <f t="array" aca="1" ref="AA3" ca="1" xml:space="preserve"> INDIRECT( ADDRESS( ROW($C$2) + AA$2, COLUMN($C$2)) )</f>
        <v>ㄊ</v>
      </c>
      <c r="AB3" s="125" t="str" cm="1">
        <f t="array" aca="1" ref="AB3" ca="1" xml:space="preserve"> INDIRECT( ADDRESS( ROW($C$2) + AB$2, COLUMN($C$2)) )</f>
        <v>ㄋ</v>
      </c>
      <c r="AC3" s="125" t="str" cm="1">
        <f t="array" aca="1" ref="AC3" ca="1" xml:space="preserve"> INDIRECT( ADDRESS( ROW($C$2) + AC$2, COLUMN($C$2)) )</f>
        <v>ㄌ</v>
      </c>
      <c r="AD3" s="125" t="str" cm="1">
        <f t="array" aca="1" ref="AD3" ca="1" xml:space="preserve"> INDIRECT( ADDRESS( ROW($C$2) + AD$2, COLUMN($C$2)) )</f>
        <v>ㄍ</v>
      </c>
      <c r="AE3" s="125" t="str" cm="1">
        <f t="array" aca="1" ref="AE3" ca="1" xml:space="preserve"> INDIRECT( ADDRESS( ROW($C$2) + AE$2, COLUMN($C$2)) )</f>
        <v>ㄎ</v>
      </c>
      <c r="AF3" s="125" t="str" cm="1">
        <f t="array" aca="1" ref="AF3" ca="1" xml:space="preserve"> INDIRECT( ADDRESS( ROW($C$2) + AF$2, COLUMN($C$2)) )</f>
        <v>ㆣ</v>
      </c>
      <c r="AG3" s="125" t="str" cm="1">
        <f t="array" aca="1" ref="AG3" ca="1" xml:space="preserve"> INDIRECT( ADDRESS( ROW($C$2) + AG$2, COLUMN($C$2)) )</f>
        <v>ㄫ</v>
      </c>
      <c r="AH3" s="125" t="str" cm="1">
        <f t="array" aca="1" ref="AH3" ca="1" xml:space="preserve"> INDIRECT( ADDRESS( ROW($C$2) + AH$2, COLUMN($C$2)) )</f>
        <v>ㄗ</v>
      </c>
      <c r="AI3" s="125" t="str" cm="1">
        <f t="array" aca="1" ref="AI3" ca="1" xml:space="preserve"> INDIRECT( ADDRESS( ROW($C$2) + AI$2, COLUMN($C$2)) )</f>
        <v>ㄘ</v>
      </c>
      <c r="AJ3" s="125" t="str" cm="1">
        <f t="array" aca="1" ref="AJ3" ca="1" xml:space="preserve"> INDIRECT( ADDRESS( ROW($C$2) + AJ$2, COLUMN($C$2)) )</f>
        <v>ㆡ</v>
      </c>
      <c r="AK3" s="125" t="str" cm="1">
        <f t="array" aca="1" ref="AK3" ca="1" xml:space="preserve"> INDIRECT( ADDRESS( ROW($C$2) + AK$2, COLUMN($C$2)) )</f>
        <v>ㄙ</v>
      </c>
      <c r="AL3" s="125" t="str" cm="1">
        <f t="array" aca="1" ref="AL3" ca="1" xml:space="preserve"> INDIRECT( ADDRESS( ROW($C$2) + AL$2, COLUMN($C$2)) )</f>
        <v>ㄐ</v>
      </c>
      <c r="AM3" s="125" t="str" cm="1">
        <f t="array" aca="1" ref="AM3" ca="1" xml:space="preserve"> INDIRECT( ADDRESS( ROW($C$2) + AM$2, COLUMN($C$2)) )</f>
        <v>ㄑ</v>
      </c>
      <c r="AN3" s="125" t="str" cm="1">
        <f t="array" aca="1" ref="AN3" ca="1" xml:space="preserve"> INDIRECT( ADDRESS( ROW($C$2) + AN$2, COLUMN($C$2)) )</f>
        <v>ㆢ</v>
      </c>
      <c r="AO3" s="125" t="str" cm="1">
        <f t="array" aca="1" ref="AO3" ca="1" xml:space="preserve"> INDIRECT( ADDRESS( ROW($C$2) + AO$2, COLUMN($C$2)) )</f>
        <v>ㄒ</v>
      </c>
      <c r="AP3" s="125" t="str" cm="1">
        <f t="array" aca="1" ref="AP3" ca="1" xml:space="preserve"> INDIRECT( ADDRESS( ROW($C$2) + AP$2, COLUMN($C$2)) )</f>
        <v>ㄏ</v>
      </c>
      <c r="AQ3" s="125" t="str" cm="1">
        <f t="array" aca="1" ref="AQ3" ca="1" xml:space="preserve"> INDIRECT( ADDRESS( ROW($C$2) + AQ$2, COLUMN($C$2)) )</f>
        <v>ㄚ</v>
      </c>
      <c r="AR3" s="125" t="str" cm="1">
        <f t="array" aca="1" ref="AR3" ca="1" xml:space="preserve"> INDIRECT( ADDRESS( ROW($C$2) + AR$2, COLUMN($C$2)) )</f>
        <v>ㆩ</v>
      </c>
      <c r="AS3" s="125" t="str" cm="1">
        <f t="array" aca="1" ref="AS3" ca="1" xml:space="preserve"> INDIRECT( ADDRESS( ROW($C$2) + AS$2, COLUMN($C$2)) )</f>
        <v>ㆦ</v>
      </c>
      <c r="AT3" s="125" t="str" cm="1">
        <f t="array" aca="1" ref="AT3" ca="1" xml:space="preserve"> INDIRECT( ADDRESS( ROW($C$2) + AT$2, COLUMN($C$2)) )</f>
        <v>ㆧ</v>
      </c>
      <c r="AU3" s="125" t="str" cm="1">
        <f t="array" aca="1" ref="AU3" ca="1" xml:space="preserve"> INDIRECT( ADDRESS( ROW($C$2) + AU$2, COLUMN($C$2)) )</f>
        <v>ㄜ</v>
      </c>
      <c r="AV3" s="125" t="str" cm="1">
        <f t="array" aca="1" ref="AV3" ca="1" xml:space="preserve"> INDIRECT( ADDRESS( ROW($C$2) + AV$2, COLUMN($C$2)) )</f>
        <v>ㆤ</v>
      </c>
      <c r="AW3" s="125" t="str" cm="1">
        <f t="array" aca="1" ref="AW3" ca="1" xml:space="preserve"> INDIRECT( ADDRESS( ROW($C$2) + AW$2, COLUMN($C$2)) )</f>
        <v>ㆥ</v>
      </c>
      <c r="AX3" s="125" t="str" cm="1">
        <f t="array" aca="1" ref="AX3" ca="1" xml:space="preserve"> INDIRECT( ADDRESS( ROW($C$2) + AX$2, COLUMN($C$2)) )</f>
        <v>ㄧ</v>
      </c>
      <c r="AY3" s="125" t="str" cm="1">
        <f t="array" aca="1" ref="AY3" ca="1" xml:space="preserve"> INDIRECT( ADDRESS( ROW($C$2) + AY$2, COLUMN($C$2)) )</f>
        <v>ㆪ</v>
      </c>
      <c r="AZ3" s="125" t="str" cm="1">
        <f t="array" aca="1" ref="AZ3" ca="1" xml:space="preserve"> INDIRECT( ADDRESS( ROW($C$2) + AZ$2, COLUMN($C$2)) )</f>
        <v>ㄨ</v>
      </c>
      <c r="BA3" s="125" t="str" cm="1">
        <f t="array" aca="1" ref="BA3" ca="1" xml:space="preserve"> INDIRECT( ADDRESS( ROW($C$2) + BA$2, COLUMN($C$2)) )</f>
        <v>ㆫ</v>
      </c>
      <c r="BB3" s="125" t="str" cm="1">
        <f t="array" aca="1" ref="BB3" ca="1" xml:space="preserve"> INDIRECT( ADDRESS( ROW($C$2) + BB$2, COLUMN($C$2)) )</f>
        <v>ㄞ</v>
      </c>
      <c r="BC3" s="125" t="str" cm="1">
        <f t="array" aca="1" ref="BC3" ca="1" xml:space="preserve"> INDIRECT( ADDRESS( ROW($C$2) + BC$2, COLUMN($C$2)) )</f>
        <v>ㆮ</v>
      </c>
      <c r="BD3" s="125" t="str" cm="1">
        <f t="array" aca="1" ref="BD3" ca="1" xml:space="preserve"> INDIRECT( ADDRESS( ROW($C$2) + BD$2, COLUMN($C$2)) )</f>
        <v>ㄠ</v>
      </c>
      <c r="BE3" s="125" t="str" cm="1">
        <f t="array" aca="1" ref="BE3" ca="1" xml:space="preserve"> INDIRECT( ADDRESS( ROW($C$2) + BE$2, COLUMN($C$2)) )</f>
        <v>ㆯ</v>
      </c>
      <c r="BF3" s="125" t="str" cm="1">
        <f t="array" aca="1" ref="BF3" ca="1" xml:space="preserve"> INDIRECT( ADDRESS( ROW($C$2) + BF$2, COLUMN($C$2)) )</f>
        <v>ㆰ</v>
      </c>
      <c r="BG3" s="125" t="str" cm="1">
        <f t="array" aca="1" ref="BG3" ca="1" xml:space="preserve"> INDIRECT( ADDRESS( ROW($C$2) + BG$2, COLUMN($C$2)) )</f>
        <v>ㆱ</v>
      </c>
      <c r="BH3" s="125" t="str" cm="1">
        <f t="array" aca="1" ref="BH3" ca="1" xml:space="preserve"> INDIRECT( ADDRESS( ROW($C$2) + BH$2, COLUMN($C$2)) )</f>
        <v>ㆬ</v>
      </c>
      <c r="BI3" s="125" t="str" cm="1">
        <f t="array" aca="1" ref="BI3" ca="1" xml:space="preserve"> INDIRECT( ADDRESS( ROW($C$2) + BI$2, COLUMN($C$2)) )</f>
        <v>ㄢ</v>
      </c>
      <c r="BJ3" s="125" t="str" cm="1">
        <f t="array" aca="1" ref="BJ3" ca="1" xml:space="preserve"> INDIRECT( ADDRESS( ROW($C$2) + BJ$2, COLUMN($C$2)) )</f>
        <v>ㄣ</v>
      </c>
      <c r="BK3" s="125" t="str" cm="1">
        <f t="array" aca="1" ref="BK3" ca="1" xml:space="preserve"> INDIRECT( ADDRESS( ROW($C$2) + BK$2, COLUMN($C$2)) )</f>
        <v>ㄤ</v>
      </c>
      <c r="BL3" s="125" t="str" cm="1">
        <f t="array" aca="1" ref="BL3" ca="1" xml:space="preserve"> INDIRECT( ADDRESS( ROW($C$2) + BL$2, COLUMN($C$2)) )</f>
        <v>ㆲ</v>
      </c>
      <c r="BM3" s="125" t="str" cm="1">
        <f t="array" aca="1" ref="BM3" ca="1" xml:space="preserve"> INDIRECT( ADDRESS( ROW($C$2) + BM$2, COLUMN($C$2)) )</f>
        <v>ㄥ</v>
      </c>
      <c r="BN3" s="125" t="str" cm="1">
        <f t="array" aca="1" ref="BN3" ca="1" xml:space="preserve"> INDIRECT( ADDRESS( ROW($C$2) + BN$2, COLUMN($C$2)) )</f>
        <v>ㆭ</v>
      </c>
      <c r="BO3" s="125" t="str" cm="1">
        <f t="array" aca="1" ref="BO3" ca="1" xml:space="preserve"> INDIRECT( ADDRESS( ROW($C$2) + BO$2, COLUMN($C$2)) )</f>
        <v xml:space="preserve"> </v>
      </c>
      <c r="BP3" s="125" t="str" cm="1">
        <f t="array" aca="1" ref="BP3" ca="1" xml:space="preserve"> INDIRECT( ADDRESS( ROW($C$2) + BP$2, COLUMN($C$2)) )</f>
        <v>ˋ</v>
      </c>
      <c r="BQ3" s="125" t="str" cm="1">
        <f t="array" aca="1" ref="BQ3" ca="1" xml:space="preserve"> INDIRECT( ADDRESS( ROW($C$2) + BQ$2, COLUMN($C$2)) )</f>
        <v>˪</v>
      </c>
      <c r="BR3" s="125" t="str" cm="1">
        <f t="array" aca="1" ref="BR3" ca="1" xml:space="preserve"> INDIRECT( ADDRESS( ROW($C$2) + BR$2, COLUMN($C$2)) )</f>
        <v>ㆴ</v>
      </c>
      <c r="BS3" s="125" t="str" cm="1">
        <f t="array" aca="1" ref="BS3" ca="1" xml:space="preserve"> INDIRECT( ADDRESS( ROW($C$2) + BS$2, COLUMN($C$2)) )</f>
        <v>ㆵ</v>
      </c>
      <c r="BT3" s="125" t="str" cm="1">
        <f t="array" aca="1" ref="BT3" ca="1" xml:space="preserve"> INDIRECT( ADDRESS( ROW($C$2) + BT$2, COLUMN($C$2)) )</f>
        <v>ㆻ</v>
      </c>
      <c r="BU3" s="125" t="str" cm="1">
        <f t="array" aca="1" ref="BU3" ca="1" xml:space="preserve"> INDIRECT( ADDRESS( ROW($C$2) + BU$2, COLUMN($C$2)) )</f>
        <v>ㆷ</v>
      </c>
      <c r="BV3" s="125" t="str" cm="1">
        <f t="array" aca="1" ref="BV3" ca="1" xml:space="preserve"> INDIRECT( ADDRESS( ROW($C$2) + BV$2, COLUMN($C$2)) )</f>
        <v>ˊ</v>
      </c>
      <c r="BW3" s="125" t="str" cm="1">
        <f t="array" aca="1" ref="BW3" ca="1" xml:space="preserve"> INDIRECT( ADDRESS( ROW($C$2) + BW$2, COLUMN($C$2)) )</f>
        <v>˫</v>
      </c>
      <c r="BX3" s="125" t="str" cm="1">
        <f t="array" aca="1" ref="BX3" ca="1" xml:space="preserve"> INDIRECT( ADDRESS( ROW($C$2) + BX$2, COLUMN($C$2)) )</f>
        <v>˙</v>
      </c>
    </row>
    <row r="4" spans="2:76" ht="32.25">
      <c r="B4" s="98">
        <f t="shared" ref="B4:B35" si="2">B3+1</f>
        <v>2</v>
      </c>
      <c r="C4" s="32" t="s">
        <v>23</v>
      </c>
      <c r="D4" s="71" t="s">
        <v>351</v>
      </c>
      <c r="E4" s="63" t="s">
        <v>358</v>
      </c>
      <c r="F4" s="107" t="s">
        <v>24</v>
      </c>
      <c r="H4" s="98">
        <f t="shared" ref="H4:H18" si="3">H3+1</f>
        <v>2</v>
      </c>
      <c r="I4" s="97" t="s">
        <v>56</v>
      </c>
      <c r="J4" s="97" t="s">
        <v>357</v>
      </c>
      <c r="K4" s="34" t="s">
        <v>196</v>
      </c>
      <c r="L4" s="107" t="s">
        <v>196</v>
      </c>
      <c r="N4" s="98">
        <f t="shared" ref="N4:N12" si="4">N3+1</f>
        <v>2</v>
      </c>
      <c r="O4" s="97" t="s">
        <v>352</v>
      </c>
      <c r="P4" s="118" t="s">
        <v>356</v>
      </c>
      <c r="Q4" s="96" t="s">
        <v>351</v>
      </c>
      <c r="R4" s="33" t="s">
        <v>355</v>
      </c>
      <c r="U4" s="124" t="s">
        <v>354</v>
      </c>
      <c r="V4" s="123" t="str" cm="1">
        <f t="array" aca="1" ref="V4" ca="1" xml:space="preserve"> INDIRECT( ADDRESS( ROW($F$2) + V$2, COLUMN($F$2)) )</f>
        <v>p</v>
      </c>
      <c r="W4" s="123" t="str" cm="1">
        <f t="array" aca="1" ref="W4" ca="1" xml:space="preserve"> INDIRECT( ADDRESS( ROW($F$2) + W$2, COLUMN($F$2)) )</f>
        <v>ph</v>
      </c>
      <c r="X4" s="123" t="str" cm="1">
        <f t="array" aca="1" ref="X4" ca="1" xml:space="preserve"> INDIRECT( ADDRESS( ROW($F$2) + X$2, COLUMN($F$2)) )</f>
        <v>b</v>
      </c>
      <c r="Y4" s="123" t="str" cm="1">
        <f t="array" aca="1" ref="Y4" ca="1" xml:space="preserve"> INDIRECT( ADDRESS( ROW($F$2) + Y$2, COLUMN($F$2)) )</f>
        <v>m</v>
      </c>
      <c r="Z4" s="123" t="str" cm="1">
        <f t="array" aca="1" ref="Z4" ca="1" xml:space="preserve"> INDIRECT( ADDRESS( ROW($F$2) + Z$2, COLUMN($F$2)) )</f>
        <v>t</v>
      </c>
      <c r="AA4" s="123" t="str" cm="1">
        <f t="array" aca="1" ref="AA4" ca="1" xml:space="preserve"> INDIRECT( ADDRESS( ROW($F$2) + AA$2, COLUMN($F$2)) )</f>
        <v>th</v>
      </c>
      <c r="AB4" s="123" t="str" cm="1">
        <f t="array" aca="1" ref="AB4" ca="1" xml:space="preserve"> INDIRECT( ADDRESS( ROW($F$2) + AB$2, COLUMN($F$2)) )</f>
        <v>n</v>
      </c>
      <c r="AC4" s="123" t="str" cm="1">
        <f t="array" aca="1" ref="AC4" ca="1" xml:space="preserve"> INDIRECT( ADDRESS( ROW($F$2) + AC$2, COLUMN($F$2)) )</f>
        <v>l</v>
      </c>
      <c r="AD4" s="123" t="str" cm="1">
        <f t="array" aca="1" ref="AD4" ca="1" xml:space="preserve"> INDIRECT( ADDRESS( ROW($F$2) + AD$2, COLUMN($F$2)) )</f>
        <v>k</v>
      </c>
      <c r="AE4" s="123" t="str" cm="1">
        <f t="array" aca="1" ref="AE4" ca="1" xml:space="preserve"> INDIRECT( ADDRESS( ROW($F$2) + AE$2, COLUMN($F$2)) )</f>
        <v>kh</v>
      </c>
      <c r="AF4" s="123" t="str" cm="1">
        <f t="array" aca="1" ref="AF4" ca="1" xml:space="preserve"> INDIRECT( ADDRESS( ROW($F$2) + AF$2, COLUMN($F$2)) )</f>
        <v>g</v>
      </c>
      <c r="AG4" s="123" t="str" cm="1">
        <f t="array" aca="1" ref="AG4" ca="1" xml:space="preserve"> INDIRECT( ADDRESS( ROW($F$2) + AG$2, COLUMN($F$2)) )</f>
        <v>ng</v>
      </c>
      <c r="AH4" s="123" t="str" cm="1">
        <f t="array" aca="1" ref="AH4" ca="1" xml:space="preserve"> INDIRECT( ADDRESS( ROW($F$2) + AH$2, COLUMN($F$2)) )</f>
        <v>ts</v>
      </c>
      <c r="AI4" s="123" t="str" cm="1">
        <f t="array" aca="1" ref="AI4" ca="1" xml:space="preserve"> INDIRECT( ADDRESS( ROW($F$2) + AI$2, COLUMN($F$2)) )</f>
        <v>tsh</v>
      </c>
      <c r="AJ4" s="123" t="str" cm="1">
        <f t="array" aca="1" ref="AJ4" ca="1" xml:space="preserve"> INDIRECT( ADDRESS( ROW($F$2) + AJ$2, COLUMN($F$2)) )</f>
        <v>j</v>
      </c>
      <c r="AK4" s="123" t="str" cm="1">
        <f t="array" aca="1" ref="AK4" ca="1" xml:space="preserve"> INDIRECT( ADDRESS( ROW($F$2) + AK$2, COLUMN($F$2)) )</f>
        <v>s</v>
      </c>
      <c r="AL4" s="123" t="str" cm="1">
        <f t="array" aca="1" ref="AL4" ca="1" xml:space="preserve"> INDIRECT( ADDRESS( ROW($F$2) + AL$2, COLUMN($F$2)) )</f>
        <v>tsi</v>
      </c>
      <c r="AM4" s="123" t="str" cm="1">
        <f t="array" aca="1" ref="AM4" ca="1" xml:space="preserve"> INDIRECT( ADDRESS( ROW($F$2) + AM$2, COLUMN($F$2)) )</f>
        <v>tshi</v>
      </c>
      <c r="AN4" s="123" t="str" cm="1">
        <f t="array" aca="1" ref="AN4" ca="1" xml:space="preserve"> INDIRECT( ADDRESS( ROW($F$2) + AN$2, COLUMN($F$2)) )</f>
        <v>ji</v>
      </c>
      <c r="AO4" s="123" t="str" cm="1">
        <f t="array" aca="1" ref="AO4" ca="1" xml:space="preserve"> INDIRECT( ADDRESS( ROW($F$2) + AO$2, COLUMN($F$2)) )</f>
        <v>si</v>
      </c>
      <c r="AP4" s="123" t="str" cm="1">
        <f t="array" aca="1" ref="AP4" ca="1" xml:space="preserve"> INDIRECT( ADDRESS( ROW($F$2) + AP$2, COLUMN($F$2)) )</f>
        <v>h</v>
      </c>
      <c r="AQ4" s="123" t="str" cm="1">
        <f t="array" aca="1" ref="AQ4" ca="1" xml:space="preserve"> INDIRECT( ADDRESS( ROW($F$2) + AQ$2, COLUMN($F$2)) )</f>
        <v>a</v>
      </c>
      <c r="AR4" s="123" t="str" cm="1">
        <f t="array" aca="1" ref="AR4" ca="1" xml:space="preserve"> INDIRECT( ADDRESS( ROW($F$2) + AR$2, COLUMN($F$2)) )</f>
        <v>ann</v>
      </c>
      <c r="AS4" s="123" t="str" cm="1">
        <f t="array" aca="1" ref="AS4" ca="1" xml:space="preserve"> INDIRECT( ADDRESS( ROW($F$2) + AS$2, COLUMN($F$2)) )</f>
        <v>o</v>
      </c>
      <c r="AT4" s="123" t="str" cm="1">
        <f t="array" aca="1" ref="AT4" ca="1" xml:space="preserve"> INDIRECT( ADDRESS( ROW($F$2) + AT$2, COLUMN($F$2)) )</f>
        <v>onn</v>
      </c>
      <c r="AU4" s="123" t="str" cm="1">
        <f t="array" aca="1" ref="AU4" ca="1" xml:space="preserve"> INDIRECT( ADDRESS( ROW($F$2) + AU$2, COLUMN($F$2)) )</f>
        <v>o</v>
      </c>
      <c r="AV4" s="123" t="str" cm="1">
        <f t="array" aca="1" ref="AV4" ca="1" xml:space="preserve"> INDIRECT( ADDRESS( ROW($F$2) + AV$2, COLUMN($F$2)) )</f>
        <v>e</v>
      </c>
      <c r="AW4" s="123" t="str" cm="1">
        <f t="array" aca="1" ref="AW4" ca="1" xml:space="preserve"> INDIRECT( ADDRESS( ROW($F$2) + AW$2, COLUMN($F$2)) )</f>
        <v>enn</v>
      </c>
      <c r="AX4" s="123" t="str" cm="1">
        <f t="array" aca="1" ref="AX4" ca="1" xml:space="preserve"> INDIRECT( ADDRESS( ROW($F$2) + AX$2, COLUMN($F$2)) )</f>
        <v>i</v>
      </c>
      <c r="AY4" s="123" t="str" cm="1">
        <f t="array" aca="1" ref="AY4" ca="1" xml:space="preserve"> INDIRECT( ADDRESS( ROW($F$2) + AY$2, COLUMN($F$2)) )</f>
        <v>inn</v>
      </c>
      <c r="AZ4" s="123" t="str" cm="1">
        <f t="array" aca="1" ref="AZ4" ca="1" xml:space="preserve"> INDIRECT( ADDRESS( ROW($F$2) + AZ$2, COLUMN($F$2)) )</f>
        <v>u</v>
      </c>
      <c r="BA4" s="123" t="str" cm="1">
        <f t="array" aca="1" ref="BA4" ca="1" xml:space="preserve"> INDIRECT( ADDRESS( ROW($F$2) + BA$2, COLUMN($F$2)) )</f>
        <v>unn</v>
      </c>
      <c r="BB4" s="123" t="str" cm="1">
        <f t="array" aca="1" ref="BB4" ca="1" xml:space="preserve"> INDIRECT( ADDRESS( ROW($F$2) + BB$2, COLUMN($F$2)) )</f>
        <v>ai</v>
      </c>
      <c r="BC4" s="123" t="str" cm="1">
        <f t="array" aca="1" ref="BC4" ca="1" xml:space="preserve"> INDIRECT( ADDRESS( ROW($F$2) + BC$2, COLUMN($F$2)) )</f>
        <v>ainn</v>
      </c>
      <c r="BD4" s="123" t="str" cm="1">
        <f t="array" aca="1" ref="BD4" ca="1" xml:space="preserve"> INDIRECT( ADDRESS( ROW($F$2) + BD$2, COLUMN($F$2)) )</f>
        <v>au</v>
      </c>
      <c r="BE4" s="123" t="str" cm="1">
        <f t="array" aca="1" ref="BE4" ca="1" xml:space="preserve"> INDIRECT( ADDRESS( ROW($F$2) + BE$2, COLUMN($F$2)) )</f>
        <v>aunn</v>
      </c>
      <c r="BF4" s="123" t="str" cm="1">
        <f t="array" aca="1" ref="BF4" ca="1" xml:space="preserve"> INDIRECT( ADDRESS( ROW($F$2) + BF$2, COLUMN($F$2)) )</f>
        <v>am</v>
      </c>
      <c r="BG4" s="123" t="str" cm="1">
        <f t="array" aca="1" ref="BG4" ca="1" xml:space="preserve"> INDIRECT( ADDRESS( ROW($F$2) + BG$2, COLUMN($F$2)) )</f>
        <v>om</v>
      </c>
      <c r="BH4" s="123" t="str" cm="1">
        <f t="array" aca="1" ref="BH4" ca="1" xml:space="preserve"> INDIRECT( ADDRESS( ROW($F$2) + BH$2, COLUMN($F$2)) )</f>
        <v>m</v>
      </c>
      <c r="BI4" s="123" t="str" cm="1">
        <f t="array" aca="1" ref="BI4" ca="1" xml:space="preserve"> INDIRECT( ADDRESS( ROW($F$2) + BI$2, COLUMN($F$2)) )</f>
        <v>an</v>
      </c>
      <c r="BJ4" s="123" t="str" cm="1">
        <f t="array" aca="1" ref="BJ4" ca="1" xml:space="preserve"> INDIRECT( ADDRESS( ROW($F$2) + BJ$2, COLUMN($F$2)) )</f>
        <v>in</v>
      </c>
      <c r="BK4" s="123" t="str" cm="1">
        <f t="array" aca="1" ref="BK4" ca="1" xml:space="preserve"> INDIRECT( ADDRESS( ROW($F$2) + BK$2, COLUMN($F$2)) )</f>
        <v>ang</v>
      </c>
      <c r="BL4" s="123" t="str" cm="1">
        <f t="array" aca="1" ref="BL4" ca="1" xml:space="preserve"> INDIRECT( ADDRESS( ROW($F$2) + BL$2, COLUMN($F$2)) )</f>
        <v>ong</v>
      </c>
      <c r="BM4" s="123" t="str" cm="1">
        <f t="array" aca="1" ref="BM4" ca="1" xml:space="preserve"> INDIRECT( ADDRESS( ROW($F$2) + BM$2, COLUMN($F$2)) )</f>
        <v>-ng</v>
      </c>
      <c r="BN4" s="123" cm="1">
        <f t="array" aca="1" ref="BN4" ca="1" xml:space="preserve"> INDIRECT( ADDRESS( ROW($F$2) + BN$2, COLUMN($F$2)) )</f>
        <v>0</v>
      </c>
      <c r="BO4" s="123" cm="1">
        <f t="array" aca="1" ref="BO4" ca="1" xml:space="preserve"> INDIRECT( ADDRESS( ROW($F$2) + BO$2, COLUMN($F$2)) )</f>
        <v>1</v>
      </c>
      <c r="BP4" s="123" cm="1">
        <f t="array" aca="1" ref="BP4" ca="1" xml:space="preserve"> INDIRECT( ADDRESS( ROW($F$2) + BP$2, COLUMN($F$2)) )</f>
        <v>2</v>
      </c>
      <c r="BQ4" s="123" cm="1">
        <f t="array" aca="1" ref="BQ4" ca="1" xml:space="preserve"> INDIRECT( ADDRESS( ROW($F$2) + BQ$2, COLUMN($F$2)) )</f>
        <v>3</v>
      </c>
      <c r="BR4" s="123" t="str" cm="1">
        <f t="array" aca="1" ref="BR4" ca="1" xml:space="preserve"> INDIRECT( ADDRESS( ROW($F$2) + BR$2, COLUMN($F$2)) )</f>
        <v>p4</v>
      </c>
      <c r="BS4" s="123" t="str" cm="1">
        <f t="array" aca="1" ref="BS4" ca="1" xml:space="preserve"> INDIRECT( ADDRESS( ROW($F$2) + BS$2, COLUMN($F$2)) )</f>
        <v>t4</v>
      </c>
      <c r="BT4" s="123" t="str" cm="1">
        <f t="array" aca="1" ref="BT4" ca="1" xml:space="preserve"> INDIRECT( ADDRESS( ROW($F$2) + BT$2, COLUMN($F$2)) )</f>
        <v>k4</v>
      </c>
      <c r="BU4" s="123" t="str" cm="1">
        <f t="array" aca="1" ref="BU4" ca="1" xml:space="preserve"> INDIRECT( ADDRESS( ROW($F$2) + BU$2, COLUMN($F$2)) )</f>
        <v>h4</v>
      </c>
      <c r="BV4" s="123" cm="1">
        <f t="array" aca="1" ref="BV4" ca="1" xml:space="preserve"> INDIRECT( ADDRESS( ROW($F$2) + BV$2, COLUMN($F$2)) )</f>
        <v>5</v>
      </c>
      <c r="BW4" s="123" cm="1">
        <f t="array" aca="1" ref="BW4" ca="1" xml:space="preserve"> INDIRECT( ADDRESS( ROW($F$2) + BW$2, COLUMN($F$2)) )</f>
        <v>7</v>
      </c>
      <c r="BX4" s="123" cm="1">
        <f t="array" aca="1" ref="BX4" ca="1" xml:space="preserve"> INDIRECT( ADDRESS( ROW($F$2) + BX$2, COLUMN($F$2)) )</f>
        <v>8</v>
      </c>
    </row>
    <row r="5" spans="2:76" ht="32.25">
      <c r="B5" s="98">
        <f t="shared" si="2"/>
        <v>3</v>
      </c>
      <c r="C5" s="32" t="s">
        <v>27</v>
      </c>
      <c r="D5" s="71" t="s">
        <v>353</v>
      </c>
      <c r="E5" s="117" t="s">
        <v>28</v>
      </c>
      <c r="F5" s="107" t="s">
        <v>28</v>
      </c>
      <c r="H5" s="98">
        <f t="shared" si="3"/>
        <v>3</v>
      </c>
      <c r="I5" s="97" t="s">
        <v>58</v>
      </c>
      <c r="J5" s="97" t="s">
        <v>352</v>
      </c>
      <c r="K5" s="117" t="s">
        <v>351</v>
      </c>
      <c r="L5" s="107" t="s">
        <v>351</v>
      </c>
      <c r="N5" s="98">
        <f t="shared" si="4"/>
        <v>3</v>
      </c>
      <c r="O5" s="97" t="s">
        <v>350</v>
      </c>
      <c r="P5" s="118" t="s">
        <v>349</v>
      </c>
      <c r="Q5" s="104" t="s">
        <v>277</v>
      </c>
      <c r="R5" s="33" t="s">
        <v>276</v>
      </c>
      <c r="U5" s="122" t="s">
        <v>348</v>
      </c>
      <c r="V5" s="121" t="str" cm="1">
        <f t="array" aca="1" ref="V5" ca="1" xml:space="preserve"> INDIRECT( ADDRESS( ROW($E$2) + V$2, COLUMN($E$2)) )</f>
        <v>p</v>
      </c>
      <c r="W5" s="121" t="str" cm="1">
        <f t="array" aca="1" ref="W5" ca="1" xml:space="preserve"> INDIRECT( ADDRESS( ROW($E$2) + W$2, COLUMN($E$2)) )</f>
        <v>P</v>
      </c>
      <c r="X5" s="121" t="str" cm="1">
        <f t="array" aca="1" ref="X5" ca="1" xml:space="preserve"> INDIRECT( ADDRESS( ROW($E$2) + X$2, COLUMN($E$2)) )</f>
        <v>b</v>
      </c>
      <c r="Y5" s="121" t="str" cm="1">
        <f t="array" aca="1" ref="Y5" ca="1" xml:space="preserve"> INDIRECT( ADDRESS( ROW($E$2) + Y$2, COLUMN($E$2)) )</f>
        <v>b</v>
      </c>
      <c r="Z5" s="121" t="str" cm="1">
        <f t="array" aca="1" ref="Z5" ca="1" xml:space="preserve"> INDIRECT( ADDRESS( ROW($E$2) + Z$2, COLUMN($E$2)) )</f>
        <v>t</v>
      </c>
      <c r="AA5" s="121" t="str" cm="1">
        <f t="array" aca="1" ref="AA5" ca="1" xml:space="preserve"> INDIRECT( ADDRESS( ROW($E$2) + AA$2, COLUMN($E$2)) )</f>
        <v>T</v>
      </c>
      <c r="AB5" s="121" t="str" cm="1">
        <f t="array" aca="1" ref="AB5" ca="1" xml:space="preserve"> INDIRECT( ADDRESS( ROW($E$2) + AB$2, COLUMN($E$2)) )</f>
        <v>d</v>
      </c>
      <c r="AC5" s="121" t="str" cm="1">
        <f t="array" aca="1" ref="AC5" ca="1" xml:space="preserve"> INDIRECT( ADDRESS( ROW($E$2) + AC$2, COLUMN($E$2)) )</f>
        <v>d</v>
      </c>
      <c r="AD5" s="121" t="str" cm="1">
        <f t="array" aca="1" ref="AD5" ca="1" xml:space="preserve"> INDIRECT( ADDRESS( ROW($E$2) + AD$2, COLUMN($E$2)) )</f>
        <v>k</v>
      </c>
      <c r="AE5" s="121" t="str" cm="1">
        <f t="array" aca="1" ref="AE5" ca="1" xml:space="preserve"> INDIRECT( ADDRESS( ROW($E$2) + AE$2, COLUMN($E$2)) )</f>
        <v>K</v>
      </c>
      <c r="AF5" s="121" t="str" cm="1">
        <f t="array" aca="1" ref="AF5" ca="1" xml:space="preserve"> INDIRECT( ADDRESS( ROW($E$2) + AF$2, COLUMN($E$2)) )</f>
        <v>g</v>
      </c>
      <c r="AG5" s="121" t="str" cm="1">
        <f t="array" aca="1" ref="AG5" ca="1" xml:space="preserve"> INDIRECT( ADDRESS( ROW($E$2) + AG$2, COLUMN($E$2)) )</f>
        <v>G</v>
      </c>
      <c r="AH5" s="121" t="str" cm="1">
        <f t="array" aca="1" ref="AH5" ca="1" xml:space="preserve"> INDIRECT( ADDRESS( ROW($E$2) + AH$2, COLUMN($E$2)) )</f>
        <v>z</v>
      </c>
      <c r="AI5" s="121" t="str" cm="1">
        <f t="array" aca="1" ref="AI5" ca="1" xml:space="preserve"> INDIRECT( ADDRESS( ROW($E$2) + AI$2, COLUMN($E$2)) )</f>
        <v>c</v>
      </c>
      <c r="AJ5" s="121" t="str" cm="1">
        <f t="array" aca="1" ref="AJ5" ca="1" xml:space="preserve"> INDIRECT( ADDRESS( ROW($E$2) + AJ$2, COLUMN($E$2)) )</f>
        <v>j</v>
      </c>
      <c r="AK5" s="121" t="str" cm="1">
        <f t="array" aca="1" ref="AK5" ca="1" xml:space="preserve"> INDIRECT( ADDRESS( ROW($E$2) + AK$2, COLUMN($E$2)) )</f>
        <v>s</v>
      </c>
      <c r="AL5" s="121" t="str" cm="1">
        <f t="array" aca="1" ref="AL5" ca="1" xml:space="preserve"> INDIRECT( ADDRESS( ROW($E$2) + AL$2, COLUMN($E$2)) )</f>
        <v>Z</v>
      </c>
      <c r="AM5" s="121" t="str" cm="1">
        <f t="array" aca="1" ref="AM5" ca="1" xml:space="preserve"> INDIRECT( ADDRESS( ROW($E$2) + AM$2, COLUMN($E$2)) )</f>
        <v>C</v>
      </c>
      <c r="AN5" s="121" t="str" cm="1">
        <f t="array" aca="1" ref="AN5" ca="1" xml:space="preserve"> INDIRECT( ADDRESS( ROW($E$2) + AN$2, COLUMN($E$2)) )</f>
        <v>J</v>
      </c>
      <c r="AO5" s="121" t="str" cm="1">
        <f t="array" aca="1" ref="AO5" ca="1" xml:space="preserve"> INDIRECT( ADDRESS( ROW($E$2) + AO$2, COLUMN($E$2)) )</f>
        <v>S</v>
      </c>
      <c r="AP5" s="121" t="str" cm="1">
        <f t="array" aca="1" ref="AP5" ca="1" xml:space="preserve"> INDIRECT( ADDRESS( ROW($E$2) + AP$2, COLUMN($E$2)) )</f>
        <v>h</v>
      </c>
      <c r="AQ5" s="121" t="str" cm="1">
        <f t="array" aca="1" ref="AQ5" ca="1" xml:space="preserve"> INDIRECT( ADDRESS( ROW($E$2) + AQ$2, COLUMN($E$2)) )</f>
        <v>a</v>
      </c>
      <c r="AR5" s="121" t="str" cm="1">
        <f t="array" aca="1" ref="AR5" ca="1" xml:space="preserve"> INDIRECT( ADDRESS( ROW($E$2) + AR$2, COLUMN($E$2)) )</f>
        <v>Na</v>
      </c>
      <c r="AS5" s="121" t="str" cm="1">
        <f t="array" aca="1" ref="AS5" ca="1" xml:space="preserve"> INDIRECT( ADDRESS( ROW($E$2) + AS$2, COLUMN($E$2)) )</f>
        <v>O</v>
      </c>
      <c r="AT5" s="121" t="str" cm="1">
        <f t="array" aca="1" ref="AT5" ca="1" xml:space="preserve"> INDIRECT( ADDRESS( ROW($E$2) + AT$2, COLUMN($E$2)) )</f>
        <v>NO</v>
      </c>
      <c r="AU5" s="121" t="str" cm="1">
        <f t="array" aca="1" ref="AU5" ca="1" xml:space="preserve"> INDIRECT( ADDRESS( ROW($E$2) + AU$2, COLUMN($E$2)) )</f>
        <v>o</v>
      </c>
      <c r="AV5" s="121" t="str" cm="1">
        <f t="array" aca="1" ref="AV5" ca="1" xml:space="preserve"> INDIRECT( ADDRESS( ROW($E$2) + AV$2, COLUMN($E$2)) )</f>
        <v>e</v>
      </c>
      <c r="AW5" s="121" t="str" cm="1">
        <f t="array" aca="1" ref="AW5" ca="1" xml:space="preserve"> INDIRECT( ADDRESS( ROW($E$2) + AW$2, COLUMN($E$2)) )</f>
        <v>Ne</v>
      </c>
      <c r="AX5" s="121" t="str" cm="1">
        <f t="array" aca="1" ref="AX5" ca="1" xml:space="preserve"> INDIRECT( ADDRESS( ROW($E$2) + AX$2, COLUMN($E$2)) )</f>
        <v>i</v>
      </c>
      <c r="AY5" s="121" t="str" cm="1">
        <f t="array" aca="1" ref="AY5" ca="1" xml:space="preserve"> INDIRECT( ADDRESS( ROW($E$2) + AY$2, COLUMN($E$2)) )</f>
        <v>Ni</v>
      </c>
      <c r="AZ5" s="121" t="str" cm="1">
        <f t="array" aca="1" ref="AZ5" ca="1" xml:space="preserve"> INDIRECT( ADDRESS( ROW($E$2) + AZ$2, COLUMN($E$2)) )</f>
        <v>u</v>
      </c>
      <c r="BA5" s="121" t="str" cm="1">
        <f t="array" aca="1" ref="BA5" ca="1" xml:space="preserve"> INDIRECT( ADDRESS( ROW($E$2) + BA$2, COLUMN($E$2)) )</f>
        <v>Nu</v>
      </c>
      <c r="BB5" s="121" t="str" cm="1">
        <f t="array" aca="1" ref="BB5" ca="1" xml:space="preserve"> INDIRECT( ADDRESS( ROW($E$2) + BB$2, COLUMN($E$2)) )</f>
        <v>I</v>
      </c>
      <c r="BC5" s="121" t="str" cm="1">
        <f t="array" aca="1" ref="BC5" ca="1" xml:space="preserve"> INDIRECT( ADDRESS( ROW($E$2) + BC$2, COLUMN($E$2)) )</f>
        <v>NI</v>
      </c>
      <c r="BD5" s="121" t="str" cm="1">
        <f t="array" aca="1" ref="BD5" ca="1" xml:space="preserve"> INDIRECT( ADDRESS( ROW($E$2) + BD$2, COLUMN($E$2)) )</f>
        <v>U</v>
      </c>
      <c r="BE5" s="121" t="str" cm="1">
        <f t="array" aca="1" ref="BE5" ca="1" xml:space="preserve"> INDIRECT( ADDRESS( ROW($E$2) + BE$2, COLUMN($E$2)) )</f>
        <v>NU</v>
      </c>
      <c r="BF5" s="121" t="str" cm="1">
        <f t="array" aca="1" ref="BF5" ca="1" xml:space="preserve"> INDIRECT( ADDRESS( ROW($E$2) + BF$2, COLUMN($E$2)) )</f>
        <v>aB</v>
      </c>
      <c r="BG5" s="121" t="str" cm="1">
        <f t="array" aca="1" ref="BG5" ca="1" xml:space="preserve"> INDIRECT( ADDRESS( ROW($E$2) + BG$2, COLUMN($E$2)) )</f>
        <v>oB</v>
      </c>
      <c r="BH5" s="121" t="str" cm="1">
        <f t="array" aca="1" ref="BH5" ca="1" xml:space="preserve"> INDIRECT( ADDRESS( ROW($E$2) + BH$2, COLUMN($E$2)) )</f>
        <v>B</v>
      </c>
      <c r="BI5" s="121" t="str" cm="1">
        <f t="array" aca="1" ref="BI5" ca="1" xml:space="preserve"> INDIRECT( ADDRESS( ROW($E$2) + BI$2, COLUMN($E$2)) )</f>
        <v>aD</v>
      </c>
      <c r="BJ5" s="121" t="str" cm="1">
        <f t="array" aca="1" ref="BJ5" ca="1" xml:space="preserve"> INDIRECT( ADDRESS( ROW($E$2) + BJ$2, COLUMN($E$2)) )</f>
        <v>iD</v>
      </c>
      <c r="BK5" s="121" t="str" cm="1">
        <f t="array" aca="1" ref="BK5" ca="1" xml:space="preserve"> INDIRECT( ADDRESS( ROW($E$2) + BK$2, COLUMN($E$2)) )</f>
        <v>aG</v>
      </c>
      <c r="BL5" s="121" t="str" cm="1">
        <f t="array" aca="1" ref="BL5" ca="1" xml:space="preserve"> INDIRECT( ADDRESS( ROW($E$2) + BL$2, COLUMN($E$2)) )</f>
        <v>OG</v>
      </c>
      <c r="BM5" s="121" t="str" cm="1">
        <f t="array" aca="1" ref="BM5" ca="1" xml:space="preserve"> INDIRECT( ADDRESS( ROW($E$2) + BM$2, COLUMN($E$2)) )</f>
        <v>oG</v>
      </c>
      <c r="BN5" s="121" t="str" cm="1">
        <f t="array" aca="1" ref="BN5" ca="1" xml:space="preserve"> INDIRECT( ADDRESS( ROW($E$2) + BN$2, COLUMN($E$2)) )</f>
        <v>G</v>
      </c>
      <c r="BO5" s="121" cm="1">
        <f t="array" aca="1" ref="BO5" ca="1" xml:space="preserve"> INDIRECT( ADDRESS( ROW($E$2) + BO$2, COLUMN($E$2)) )</f>
        <v>0</v>
      </c>
      <c r="BP5" s="121" cm="1">
        <f t="array" aca="1" ref="BP5" ca="1" xml:space="preserve"> INDIRECT( ADDRESS( ROW($E$2) + BP$2, COLUMN($E$2)) )</f>
        <v>0</v>
      </c>
      <c r="BQ5" s="121" cm="1">
        <f t="array" aca="1" ref="BQ5" ca="1" xml:space="preserve"> INDIRECT( ADDRESS( ROW($E$2) + BQ$2, COLUMN($E$2)) )</f>
        <v>0</v>
      </c>
      <c r="BR5" s="121" cm="1">
        <f t="array" aca="1" ref="BR5" ca="1" xml:space="preserve"> INDIRECT( ADDRESS( ROW($E$2) + BR$2, COLUMN($E$2)) )</f>
        <v>0</v>
      </c>
      <c r="BS5" s="121" cm="1">
        <f t="array" aca="1" ref="BS5" ca="1" xml:space="preserve"> INDIRECT( ADDRESS( ROW($E$2) + BS$2, COLUMN($E$2)) )</f>
        <v>0</v>
      </c>
      <c r="BT5" s="121" cm="1">
        <f t="array" aca="1" ref="BT5" ca="1" xml:space="preserve"> INDIRECT( ADDRESS( ROW($E$2) + BT$2, COLUMN($E$2)) )</f>
        <v>0</v>
      </c>
      <c r="BU5" s="121" cm="1">
        <f t="array" aca="1" ref="BU5" ca="1" xml:space="preserve"> INDIRECT( ADDRESS( ROW($E$2) + BU$2, COLUMN($E$2)) )</f>
        <v>0</v>
      </c>
      <c r="BV5" s="121" cm="1">
        <f t="array" aca="1" ref="BV5" ca="1" xml:space="preserve"> INDIRECT( ADDRESS( ROW($E$2) + BV$2, COLUMN($E$2)) )</f>
        <v>0</v>
      </c>
      <c r="BW5" s="121" cm="1">
        <f t="array" aca="1" ref="BW5" ca="1" xml:space="preserve"> INDIRECT( ADDRESS( ROW($E$2) + BW$2, COLUMN($E$2)) )</f>
        <v>0</v>
      </c>
      <c r="BX5" s="121" cm="1">
        <f t="array" aca="1" ref="BX5" ca="1" xml:space="preserve"> INDIRECT( ADDRESS( ROW($E$2) + BX$2, COLUMN($E$2)) )</f>
        <v>0</v>
      </c>
    </row>
    <row r="6" spans="2:76" ht="32.25">
      <c r="B6" s="98">
        <f t="shared" si="2"/>
        <v>4</v>
      </c>
      <c r="C6" s="32" t="s">
        <v>83</v>
      </c>
      <c r="D6" s="71" t="s">
        <v>347</v>
      </c>
      <c r="E6" s="34" t="s">
        <v>28</v>
      </c>
      <c r="F6" s="107" t="s">
        <v>84</v>
      </c>
      <c r="H6" s="98">
        <f t="shared" si="3"/>
        <v>4</v>
      </c>
      <c r="I6" s="97" t="s">
        <v>336</v>
      </c>
      <c r="J6" s="97" t="s">
        <v>335</v>
      </c>
      <c r="K6" s="34" t="s">
        <v>65</v>
      </c>
      <c r="L6" s="107" t="s">
        <v>346</v>
      </c>
      <c r="N6" s="98">
        <f t="shared" si="4"/>
        <v>4</v>
      </c>
      <c r="O6" s="97" t="s">
        <v>345</v>
      </c>
      <c r="P6" s="118" t="s">
        <v>344</v>
      </c>
      <c r="Q6" s="104" t="s">
        <v>277</v>
      </c>
      <c r="R6" s="33" t="s">
        <v>343</v>
      </c>
      <c r="U6" s="120" t="s">
        <v>342</v>
      </c>
      <c r="V6" s="119" t="str" cm="1">
        <f t="array" aca="1" ref="V6" ca="1" xml:space="preserve"> INDIRECT( ADDRESS( ROW($D$2) + V$2, COLUMN($D$2)) )</f>
        <v>1</v>
      </c>
      <c r="W6" s="119" t="str" cm="1">
        <f t="array" aca="1" ref="W6" ca="1" xml:space="preserve"> INDIRECT( ADDRESS( ROW($D$2) + W$2, COLUMN($D$2)) )</f>
        <v>a</v>
      </c>
      <c r="X6" s="119" t="str" cm="1">
        <f t="array" aca="1" ref="X6" ca="1" xml:space="preserve"> INDIRECT( ADDRESS( ROW($D$2) + X$2, COLUMN($D$2)) )</f>
        <v>q</v>
      </c>
      <c r="Y6" s="119" t="str" cm="1">
        <f t="array" aca="1" ref="Y6" ca="1" xml:space="preserve"> INDIRECT( ADDRESS( ROW($D$2) + Y$2, COLUMN($D$2)) )</f>
        <v>2</v>
      </c>
      <c r="Z6" s="119" t="str" cm="1">
        <f t="array" aca="1" ref="Z6" ca="1" xml:space="preserve"> INDIRECT( ADDRESS( ROW($D$2) + Z$2, COLUMN($D$2)) )</f>
        <v>w</v>
      </c>
      <c r="AA6" s="119" t="str" cm="1">
        <f t="array" aca="1" ref="AA6" ca="1" xml:space="preserve"> INDIRECT( ADDRESS( ROW($D$2) + AA$2, COLUMN($D$2)) )</f>
        <v>s</v>
      </c>
      <c r="AB6" s="119" t="str" cm="1">
        <f t="array" aca="1" ref="AB6" ca="1" xml:space="preserve"> INDIRECT( ADDRESS( ROW($D$2) + AB$2, COLUMN($D$2)) )</f>
        <v>x</v>
      </c>
      <c r="AC6" s="119" t="str" cm="1">
        <f t="array" aca="1" ref="AC6" ca="1" xml:space="preserve"> INDIRECT( ADDRESS( ROW($D$2) + AC$2, COLUMN($D$2)) )</f>
        <v>e</v>
      </c>
      <c r="AD6" s="119" t="str" cm="1">
        <f t="array" aca="1" ref="AD6" ca="1" xml:space="preserve"> INDIRECT( ADDRESS( ROW($D$2) + AD$2, COLUMN($D$2)) )</f>
        <v>E</v>
      </c>
      <c r="AE6" s="119" t="str" cm="1">
        <f t="array" aca="1" ref="AE6" ca="1" xml:space="preserve"> INDIRECT( ADDRESS( ROW($D$2) + AE$2, COLUMN($D$2)) )</f>
        <v>D</v>
      </c>
      <c r="AF6" s="119" t="str" cm="1">
        <f t="array" aca="1" ref="AF6" ca="1" xml:space="preserve"> INDIRECT( ADDRESS( ROW($D$2) + AF$2, COLUMN($D$2)) )</f>
        <v>d</v>
      </c>
      <c r="AG6" s="119" t="str" cm="1">
        <f t="array" aca="1" ref="AG6" ca="1" xml:space="preserve"> INDIRECT( ADDRESS( ROW($D$2) + AG$2, COLUMN($D$2)) )</f>
        <v>c</v>
      </c>
      <c r="AH6" s="119" t="str" cm="1">
        <f t="array" aca="1" ref="AH6" ca="1" xml:space="preserve"> INDIRECT( ADDRESS( ROW($D$2) + AH$2, COLUMN($D$2)) )</f>
        <v>y</v>
      </c>
      <c r="AI6" s="119" t="str" cm="1">
        <f t="array" aca="1" ref="AI6" ca="1" xml:space="preserve"> INDIRECT( ADDRESS( ROW($D$2) + AI$2, COLUMN($D$2)) )</f>
        <v>h</v>
      </c>
      <c r="AJ6" s="119" t="str" cm="1">
        <f t="array" aca="1" ref="AJ6" ca="1" xml:space="preserve"> INDIRECT( ADDRESS( ROW($D$2) + AJ$2, COLUMN($D$2)) )</f>
        <v>b</v>
      </c>
      <c r="AK6" s="119" t="str" cm="1">
        <f t="array" aca="1" ref="AK6" ca="1" xml:space="preserve"> INDIRECT( ADDRESS( ROW($D$2) + AK$2, COLUMN($D$2)) )</f>
        <v>n</v>
      </c>
      <c r="AL6" s="119" t="str" cm="1">
        <f t="array" aca="1" ref="AL6" ca="1" xml:space="preserve"> INDIRECT( ADDRESS( ROW($D$2) + AL$2, COLUMN($D$2)) )</f>
        <v>Y</v>
      </c>
      <c r="AM6" s="119" t="str" cm="1">
        <f t="array" aca="1" ref="AM6" ca="1" xml:space="preserve"> INDIRECT( ADDRESS( ROW($D$2) + AM$2, COLUMN($D$2)) )</f>
        <v>H</v>
      </c>
      <c r="AN6" s="119" t="str" cm="1">
        <f t="array" aca="1" ref="AN6" ca="1" xml:space="preserve"> INDIRECT( ADDRESS( ROW($D$2) + AN$2, COLUMN($D$2)) )</f>
        <v>B</v>
      </c>
      <c r="AO6" s="119" t="str" cm="1">
        <f t="array" aca="1" ref="AO6" ca="1" xml:space="preserve"> INDIRECT( ADDRESS( ROW($D$2) + AO$2, COLUMN($D$2)) )</f>
        <v>N</v>
      </c>
      <c r="AP6" s="119" t="str" cm="1">
        <f t="array" aca="1" ref="AP6" ca="1" xml:space="preserve"> INDIRECT( ADDRESS( ROW($D$2) + AP$2, COLUMN($D$2)) )</f>
        <v>r</v>
      </c>
      <c r="AQ6" s="119" t="str" cm="1">
        <f t="array" aca="1" ref="AQ6" ca="1" xml:space="preserve"> INDIRECT( ADDRESS( ROW($D$2) + AQ$2, COLUMN($D$2)) )</f>
        <v>*</v>
      </c>
      <c r="AR6" s="119" t="str" cm="1">
        <f t="array" aca="1" ref="AR6" ca="1" xml:space="preserve"> INDIRECT( ADDRESS( ROW($D$2) + AR$2, COLUMN($D$2)) )</f>
        <v>i</v>
      </c>
      <c r="AS6" s="119" t="str" cm="1">
        <f t="array" aca="1" ref="AS6" ca="1" xml:space="preserve"> INDIRECT( ADDRESS( ROW($D$2) + AS$2, COLUMN($D$2)) )</f>
        <v>I</v>
      </c>
      <c r="AT6" s="119" t="str" cm="1">
        <f t="array" aca="1" ref="AT6" ca="1" xml:space="preserve"> INDIRECT( ADDRESS( ROW($D$2) + AT$2, COLUMN($D$2)) )</f>
        <v>k</v>
      </c>
      <c r="AU6" s="119" t="str" cm="1">
        <f t="array" aca="1" ref="AU6" ca="1" xml:space="preserve"> INDIRECT( ADDRESS( ROW($D$2) + AU$2, COLUMN($D$2)) )</f>
        <v>o</v>
      </c>
      <c r="AV6" s="119" t="str" cm="1">
        <f t="array" aca="1" ref="AV6" ca="1" xml:space="preserve"> INDIRECT( ADDRESS( ROW($D$2) + AV$2, COLUMN($D$2)) )</f>
        <v>O</v>
      </c>
      <c r="AW6" s="119" t="str" cm="1">
        <f t="array" aca="1" ref="AW6" ca="1" xml:space="preserve"> INDIRECT( ADDRESS( ROW($D$2) + AW$2, COLUMN($D$2)) )</f>
        <v>9</v>
      </c>
      <c r="AX6" s="119" t="str" cm="1">
        <f t="array" aca="1" ref="AX6" ca="1" xml:space="preserve"> INDIRECT( ADDRESS( ROW($D$2) + AX$2, COLUMN($D$2)) )</f>
        <v>U</v>
      </c>
      <c r="AY6" s="119" t="str" cm="1">
        <f t="array" aca="1" ref="AY6" ca="1" xml:space="preserve"> INDIRECT( ADDRESS( ROW($D$2) + AY$2, COLUMN($D$2)) )</f>
        <v>j</v>
      </c>
      <c r="AZ6" s="119" t="str" cm="1">
        <f t="array" aca="1" ref="AZ6" ca="1" xml:space="preserve"> INDIRECT( ADDRESS( ROW($D$2) + AZ$2, COLUMN($D$2)) )</f>
        <v>J</v>
      </c>
      <c r="BA6" s="119" t="str" cm="1">
        <f t="array" aca="1" ref="BA6" ca="1" xml:space="preserve"> INDIRECT( ADDRESS( ROW($D$2) + BA$2, COLUMN($D$2)) )</f>
        <v xml:space="preserve"> </v>
      </c>
      <c r="BB6" s="119" t="str" cm="1">
        <f t="array" aca="1" ref="BB6" ca="1" xml:space="preserve"> INDIRECT( ADDRESS( ROW($D$2) + BB$2, COLUMN($D$2)) )</f>
        <v>(</v>
      </c>
      <c r="BC6" s="119" t="str" cm="1">
        <f t="array" aca="1" ref="BC6" ca="1" xml:space="preserve"> INDIRECT( ADDRESS( ROW($D$2) + BC$2, COLUMN($D$2)) )</f>
        <v>l</v>
      </c>
      <c r="BD6" s="119" t="str" cm="1">
        <f t="array" aca="1" ref="BD6" ca="1" xml:space="preserve"> INDIRECT( ADDRESS( ROW($D$2) + BD$2, COLUMN($D$2)) )</f>
        <v>L</v>
      </c>
      <c r="BE6" s="119" t="str" cm="1">
        <f t="array" aca="1" ref="BE6" ca="1" xml:space="preserve"> INDIRECT( ADDRESS( ROW($D$2) + BE$2, COLUMN($D$2)) )</f>
        <v>,</v>
      </c>
      <c r="BF6" s="119" t="str" cm="1">
        <f t="array" aca="1" ref="BF6" ca="1" xml:space="preserve"> INDIRECT( ADDRESS( ROW($D$2) + BF$2, COLUMN($D$2)) )</f>
        <v>&lt;</v>
      </c>
      <c r="BG6" s="119" t="str" cm="1">
        <f t="array" aca="1" ref="BG6" ca="1" xml:space="preserve"> INDIRECT( ADDRESS( ROW($D$2) + BG$2, COLUMN($D$2)) )</f>
        <v>m</v>
      </c>
      <c r="BH6" s="119" t="str" cm="1">
        <f t="array" aca="1" ref="BH6" ca="1" xml:space="preserve"> INDIRECT( ADDRESS( ROW($D$2) + BH$2, COLUMN($D$2)) )</f>
        <v>0</v>
      </c>
      <c r="BI6" s="119" t="str" cm="1">
        <f t="array" aca="1" ref="BI6" ca="1" xml:space="preserve"> INDIRECT( ADDRESS( ROW($D$2) + BI$2, COLUMN($D$2)) )</f>
        <v>p</v>
      </c>
      <c r="BJ6" s="119" t="str" cm="1">
        <f t="array" aca="1" ref="BJ6" ca="1" xml:space="preserve"> INDIRECT( ADDRESS( ROW($D$2) + BJ$2, COLUMN($D$2)) )</f>
        <v>;</v>
      </c>
      <c r="BK6" s="119" t="str" cm="1">
        <f t="array" aca="1" ref="BK6" ca="1" xml:space="preserve"> INDIRECT( ADDRESS( ROW($D$2) + BK$2, COLUMN($D$2)) )</f>
        <v>:</v>
      </c>
      <c r="BL6" s="119" t="str" cm="1">
        <f t="array" aca="1" ref="BL6" ca="1" xml:space="preserve"> INDIRECT( ADDRESS( ROW($D$2) + BL$2, COLUMN($D$2)) )</f>
        <v>/</v>
      </c>
      <c r="BM6" s="119" t="str" cm="1">
        <f t="array" aca="1" ref="BM6" ca="1" xml:space="preserve"> INDIRECT( ADDRESS( ROW($D$2) + BM$2, COLUMN($D$2)) )</f>
        <v>-</v>
      </c>
      <c r="BN6" s="119" t="str" cm="1">
        <f t="array" aca="1" ref="BN6" ca="1" xml:space="preserve"> INDIRECT( ADDRESS( ROW($D$2) + BN$2, COLUMN($D$2)) )</f>
        <v>u</v>
      </c>
      <c r="BO6" s="119" t="str" cm="1">
        <f t="array" aca="1" ref="BO6" ca="1" xml:space="preserve"> INDIRECT( ADDRESS( ROW($D$2) + BO$2, COLUMN($D$2)) )</f>
        <v>4</v>
      </c>
      <c r="BP6" s="119" t="str" cm="1">
        <f t="array" aca="1" ref="BP6" ca="1" xml:space="preserve"> INDIRECT( ADDRESS( ROW($D$2) + BP$2, COLUMN($D$2)) )</f>
        <v>3</v>
      </c>
      <c r="BQ6" s="119" t="str" cm="1">
        <f t="array" aca="1" ref="BQ6" ca="1" xml:space="preserve"> INDIRECT( ADDRESS( ROW($D$2) + BQ$2, COLUMN($D$2)) )</f>
        <v>b</v>
      </c>
      <c r="BR6" s="119" t="str" cm="1">
        <f t="array" aca="1" ref="BR6" ca="1" xml:space="preserve"> INDIRECT( ADDRESS( ROW($D$2) + BR$2, COLUMN($D$2)) )</f>
        <v>t</v>
      </c>
      <c r="BS6" s="119" t="str" cm="1">
        <f t="array" aca="1" ref="BS6" ca="1" xml:space="preserve"> INDIRECT( ADDRESS( ROW($D$2) + BS$2, COLUMN($D$2)) )</f>
        <v>g</v>
      </c>
      <c r="BT6" s="119" t="str" cm="1">
        <f t="array" aca="1" ref="BT6" ca="1" xml:space="preserve"> INDIRECT( ADDRESS( ROW($D$2) + BT$2, COLUMN($D$2)) )</f>
        <v>z</v>
      </c>
      <c r="BU6" s="119" t="str" cm="1">
        <f t="array" aca="1" ref="BU6" ca="1" xml:space="preserve"> INDIRECT( ADDRESS( ROW($D$2) + BU$2, COLUMN($D$2)) )</f>
        <v>6</v>
      </c>
      <c r="BV6" s="119" t="str" cm="1">
        <f t="array" aca="1" ref="BV6" ca="1" xml:space="preserve"> INDIRECT( ADDRESS( ROW($D$2) + BV$2, COLUMN($D$2)) )</f>
        <v>5</v>
      </c>
      <c r="BW6" s="119" t="str" cm="1">
        <f t="array" aca="1" ref="BW6" ca="1" xml:space="preserve"> INDIRECT( ADDRESS( ROW($D$2) + BW$2, COLUMN($D$2)) )</f>
        <v>7</v>
      </c>
      <c r="BX6" s="119" cm="1">
        <f t="array" aca="1" ref="BX6" ca="1" xml:space="preserve"> INDIRECT( ADDRESS( ROW($D$2) + BX$2, COLUMN($D$2)) )</f>
        <v>0</v>
      </c>
    </row>
    <row r="7" spans="2:76" ht="32.25">
      <c r="B7" s="116">
        <f t="shared" si="2"/>
        <v>5</v>
      </c>
      <c r="C7" s="26" t="s">
        <v>29</v>
      </c>
      <c r="D7" s="109" t="s">
        <v>341</v>
      </c>
      <c r="E7" s="28" t="s">
        <v>340</v>
      </c>
      <c r="F7" s="108" t="s">
        <v>30</v>
      </c>
      <c r="H7" s="98">
        <f t="shared" si="3"/>
        <v>5</v>
      </c>
      <c r="I7" s="97" t="s">
        <v>61</v>
      </c>
      <c r="J7" s="97" t="s">
        <v>339</v>
      </c>
      <c r="K7" s="34" t="s">
        <v>65</v>
      </c>
      <c r="L7" s="107" t="s">
        <v>65</v>
      </c>
      <c r="N7" s="98">
        <f t="shared" si="4"/>
        <v>5</v>
      </c>
      <c r="O7" s="97" t="s">
        <v>99</v>
      </c>
      <c r="P7" s="118" t="s">
        <v>100</v>
      </c>
      <c r="Q7" s="104" t="s">
        <v>222</v>
      </c>
      <c r="R7" s="33" t="s">
        <v>100</v>
      </c>
    </row>
    <row r="8" spans="2:76" ht="32.25">
      <c r="B8" s="69">
        <f t="shared" si="2"/>
        <v>6</v>
      </c>
      <c r="C8" s="32" t="s">
        <v>31</v>
      </c>
      <c r="D8" s="71" t="s">
        <v>338</v>
      </c>
      <c r="E8" s="34" t="s">
        <v>337</v>
      </c>
      <c r="F8" s="107" t="s">
        <v>32</v>
      </c>
      <c r="H8" s="98">
        <f t="shared" si="3"/>
        <v>6</v>
      </c>
      <c r="I8" s="97" t="s">
        <v>336</v>
      </c>
      <c r="J8" s="97" t="s">
        <v>335</v>
      </c>
      <c r="K8" s="34" t="s">
        <v>329</v>
      </c>
      <c r="L8" s="107" t="s">
        <v>329</v>
      </c>
      <c r="N8" s="98">
        <f t="shared" si="4"/>
        <v>6</v>
      </c>
      <c r="O8" s="97" t="s">
        <v>325</v>
      </c>
      <c r="P8" s="118" t="s">
        <v>334</v>
      </c>
      <c r="Q8" s="104" t="s">
        <v>208</v>
      </c>
      <c r="R8" s="33" t="s">
        <v>333</v>
      </c>
    </row>
    <row r="9" spans="2:76" ht="32.25">
      <c r="B9" s="69">
        <f t="shared" si="2"/>
        <v>7</v>
      </c>
      <c r="C9" s="32" t="s">
        <v>33</v>
      </c>
      <c r="D9" s="71" t="s">
        <v>332</v>
      </c>
      <c r="E9" s="34" t="s">
        <v>328</v>
      </c>
      <c r="F9" s="107" t="s">
        <v>34</v>
      </c>
      <c r="H9" s="69">
        <f t="shared" si="3"/>
        <v>7</v>
      </c>
      <c r="I9" s="97" t="s">
        <v>241</v>
      </c>
      <c r="J9" s="97" t="s">
        <v>331</v>
      </c>
      <c r="K9" s="34" t="s">
        <v>275</v>
      </c>
      <c r="L9" s="107" t="s">
        <v>330</v>
      </c>
      <c r="N9" s="98">
        <f t="shared" si="4"/>
        <v>7</v>
      </c>
      <c r="O9" s="97" t="s">
        <v>97</v>
      </c>
      <c r="P9" s="118" t="s">
        <v>177</v>
      </c>
      <c r="Q9" s="104" t="s">
        <v>176</v>
      </c>
      <c r="R9" s="33" t="s">
        <v>177</v>
      </c>
    </row>
    <row r="10" spans="2:76" ht="32.25">
      <c r="B10" s="72">
        <f t="shared" si="2"/>
        <v>8</v>
      </c>
      <c r="C10" s="42" t="s">
        <v>85</v>
      </c>
      <c r="D10" s="73" t="s">
        <v>329</v>
      </c>
      <c r="E10" s="44" t="s">
        <v>328</v>
      </c>
      <c r="F10" s="105" t="s">
        <v>86</v>
      </c>
      <c r="H10" s="69">
        <f t="shared" si="3"/>
        <v>8</v>
      </c>
      <c r="I10" s="97" t="s">
        <v>72</v>
      </c>
      <c r="J10" s="97" t="s">
        <v>327</v>
      </c>
      <c r="K10" s="34" t="s">
        <v>259</v>
      </c>
      <c r="L10" s="107" t="s">
        <v>326</v>
      </c>
      <c r="N10" s="98">
        <f t="shared" si="4"/>
        <v>8</v>
      </c>
      <c r="O10" s="97" t="s">
        <v>325</v>
      </c>
      <c r="P10" s="118" t="s">
        <v>324</v>
      </c>
      <c r="Q10" s="104" t="s">
        <v>176</v>
      </c>
      <c r="R10" s="33" t="s">
        <v>323</v>
      </c>
    </row>
    <row r="11" spans="2:76" ht="32.25">
      <c r="B11" s="98">
        <f t="shared" si="2"/>
        <v>9</v>
      </c>
      <c r="C11" s="32" t="s">
        <v>36</v>
      </c>
      <c r="D11" s="71" t="s">
        <v>322</v>
      </c>
      <c r="E11" s="34" t="s">
        <v>321</v>
      </c>
      <c r="F11" s="107" t="s">
        <v>37</v>
      </c>
      <c r="H11" s="98">
        <f t="shared" si="3"/>
        <v>9</v>
      </c>
      <c r="I11" s="97" t="s">
        <v>320</v>
      </c>
      <c r="J11" s="97" t="s">
        <v>319</v>
      </c>
      <c r="K11" s="34" t="s">
        <v>318</v>
      </c>
      <c r="L11" s="107" t="s">
        <v>318</v>
      </c>
      <c r="N11" s="98">
        <f t="shared" si="4"/>
        <v>9</v>
      </c>
      <c r="O11" s="97" t="s">
        <v>95</v>
      </c>
      <c r="P11" s="118" t="s">
        <v>317</v>
      </c>
      <c r="Q11" s="104" t="s">
        <v>164</v>
      </c>
      <c r="R11" s="33" t="s">
        <v>163</v>
      </c>
    </row>
    <row r="12" spans="2:76" ht="32.25">
      <c r="B12" s="98">
        <f t="shared" si="2"/>
        <v>10</v>
      </c>
      <c r="C12" s="32" t="s">
        <v>38</v>
      </c>
      <c r="D12" s="71" t="s">
        <v>189</v>
      </c>
      <c r="E12" s="34" t="s">
        <v>316</v>
      </c>
      <c r="F12" s="107" t="s">
        <v>39</v>
      </c>
      <c r="H12" s="98">
        <f t="shared" si="3"/>
        <v>10</v>
      </c>
      <c r="I12" s="97" t="s">
        <v>315</v>
      </c>
      <c r="J12" s="97" t="s">
        <v>314</v>
      </c>
      <c r="K12" s="34" t="s">
        <v>313</v>
      </c>
      <c r="L12" s="107" t="s">
        <v>313</v>
      </c>
      <c r="N12" s="98">
        <f t="shared" si="4"/>
        <v>10</v>
      </c>
      <c r="O12" s="97" t="s">
        <v>312</v>
      </c>
      <c r="P12" s="118" t="s">
        <v>311</v>
      </c>
      <c r="Q12" s="104" t="s">
        <v>164</v>
      </c>
      <c r="R12" s="33" t="s">
        <v>310</v>
      </c>
    </row>
    <row r="13" spans="2:76" ht="32.25">
      <c r="B13" s="98">
        <f t="shared" si="2"/>
        <v>11</v>
      </c>
      <c r="C13" s="32" t="s">
        <v>41</v>
      </c>
      <c r="D13" s="71" t="s">
        <v>309</v>
      </c>
      <c r="E13" s="34" t="s">
        <v>42</v>
      </c>
      <c r="F13" s="107" t="s">
        <v>42</v>
      </c>
      <c r="H13" s="98">
        <f t="shared" si="3"/>
        <v>11</v>
      </c>
      <c r="I13" s="97" t="s">
        <v>308</v>
      </c>
      <c r="J13" s="97" t="s">
        <v>307</v>
      </c>
      <c r="K13" s="34" t="s">
        <v>306</v>
      </c>
      <c r="L13" s="107" t="s">
        <v>306</v>
      </c>
      <c r="O13" s="94"/>
      <c r="P13" s="94"/>
      <c r="Q13" s="94"/>
      <c r="R13" s="94"/>
    </row>
    <row r="14" spans="2:76" ht="32.25">
      <c r="B14" s="98">
        <f t="shared" si="2"/>
        <v>12</v>
      </c>
      <c r="C14" s="32" t="s">
        <v>87</v>
      </c>
      <c r="D14" s="71" t="s">
        <v>305</v>
      </c>
      <c r="E14" s="117" t="s">
        <v>195</v>
      </c>
      <c r="F14" s="107" t="s">
        <v>88</v>
      </c>
      <c r="H14" s="98">
        <f t="shared" si="3"/>
        <v>12</v>
      </c>
      <c r="I14" s="97" t="s">
        <v>304</v>
      </c>
      <c r="J14" s="97" t="s">
        <v>303</v>
      </c>
      <c r="K14" s="117" t="s">
        <v>302</v>
      </c>
      <c r="L14" s="107" t="s">
        <v>301</v>
      </c>
      <c r="O14" s="94"/>
      <c r="P14" s="94"/>
      <c r="Q14" s="94"/>
      <c r="R14" s="94"/>
    </row>
    <row r="15" spans="2:76" ht="32.25">
      <c r="B15" s="116">
        <f t="shared" si="2"/>
        <v>13</v>
      </c>
      <c r="C15" s="26" t="s">
        <v>43</v>
      </c>
      <c r="D15" s="109" t="s">
        <v>370</v>
      </c>
      <c r="E15" s="28" t="s">
        <v>366</v>
      </c>
      <c r="F15" s="108" t="s">
        <v>44</v>
      </c>
      <c r="H15" s="69">
        <f t="shared" si="3"/>
        <v>13</v>
      </c>
      <c r="I15" s="97" t="s">
        <v>300</v>
      </c>
      <c r="J15" s="97" t="s">
        <v>299</v>
      </c>
      <c r="K15" s="34" t="s">
        <v>298</v>
      </c>
      <c r="L15" s="107" t="s">
        <v>298</v>
      </c>
      <c r="O15" s="94"/>
      <c r="P15" s="94"/>
      <c r="Q15" s="94"/>
      <c r="R15" s="94"/>
    </row>
    <row r="16" spans="2:76" ht="32.25">
      <c r="B16" s="69">
        <f t="shared" si="2"/>
        <v>14</v>
      </c>
      <c r="C16" s="32" t="s">
        <v>46</v>
      </c>
      <c r="D16" s="71" t="s">
        <v>371</v>
      </c>
      <c r="E16" s="34" t="s">
        <v>287</v>
      </c>
      <c r="F16" s="107" t="s">
        <v>47</v>
      </c>
      <c r="H16" s="69">
        <f t="shared" si="3"/>
        <v>14</v>
      </c>
      <c r="I16" s="97" t="s">
        <v>297</v>
      </c>
      <c r="J16" s="97" t="s">
        <v>296</v>
      </c>
      <c r="K16" s="34" t="s">
        <v>295</v>
      </c>
      <c r="L16" s="107" t="s">
        <v>295</v>
      </c>
      <c r="O16" s="94"/>
      <c r="P16" s="94"/>
      <c r="Q16" s="94"/>
      <c r="R16" s="94"/>
    </row>
    <row r="17" spans="2:18" ht="32.25">
      <c r="B17" s="69">
        <f t="shared" si="2"/>
        <v>15</v>
      </c>
      <c r="C17" s="32" t="s">
        <v>48</v>
      </c>
      <c r="D17" s="71" t="s">
        <v>373</v>
      </c>
      <c r="E17" s="34" t="s">
        <v>49</v>
      </c>
      <c r="F17" s="107" t="s">
        <v>49</v>
      </c>
      <c r="H17" s="69">
        <f t="shared" si="3"/>
        <v>15</v>
      </c>
      <c r="I17" s="97" t="s">
        <v>294</v>
      </c>
      <c r="J17" s="97" t="s">
        <v>293</v>
      </c>
      <c r="K17" s="34" t="s">
        <v>292</v>
      </c>
      <c r="L17" s="107" t="s">
        <v>292</v>
      </c>
      <c r="O17" s="94"/>
      <c r="P17" s="94"/>
      <c r="Q17" s="94"/>
      <c r="R17" s="94"/>
    </row>
    <row r="18" spans="2:18" ht="32.25">
      <c r="B18" s="72">
        <f t="shared" si="2"/>
        <v>16</v>
      </c>
      <c r="C18" s="42" t="s">
        <v>50</v>
      </c>
      <c r="D18" s="73" t="s">
        <v>372</v>
      </c>
      <c r="E18" s="44" t="s">
        <v>51</v>
      </c>
      <c r="F18" s="105" t="s">
        <v>51</v>
      </c>
      <c r="H18" s="69">
        <f t="shared" si="3"/>
        <v>16</v>
      </c>
      <c r="I18" s="97" t="s">
        <v>291</v>
      </c>
      <c r="J18" s="97" t="s">
        <v>290</v>
      </c>
      <c r="K18" s="34" t="s">
        <v>289</v>
      </c>
      <c r="L18" s="107" t="s">
        <v>288</v>
      </c>
      <c r="O18" s="94"/>
      <c r="P18" s="94"/>
      <c r="Q18" s="94"/>
      <c r="R18" s="94"/>
    </row>
    <row r="19" spans="2:18" ht="32.25">
      <c r="B19" s="98">
        <f t="shared" si="2"/>
        <v>17</v>
      </c>
      <c r="C19" s="32" t="s">
        <v>89</v>
      </c>
      <c r="D19" s="71" t="s">
        <v>374</v>
      </c>
      <c r="E19" s="34" t="s">
        <v>367</v>
      </c>
      <c r="F19" s="107" t="s">
        <v>90</v>
      </c>
      <c r="I19" s="94"/>
      <c r="J19" s="94"/>
      <c r="K19" s="94"/>
      <c r="L19" s="94"/>
      <c r="O19" s="94"/>
      <c r="P19" s="94"/>
      <c r="Q19" s="94"/>
      <c r="R19" s="94"/>
    </row>
    <row r="20" spans="2:18" ht="32.25">
      <c r="B20" s="98">
        <f t="shared" si="2"/>
        <v>18</v>
      </c>
      <c r="C20" s="32" t="s">
        <v>91</v>
      </c>
      <c r="D20" s="71" t="s">
        <v>375</v>
      </c>
      <c r="E20" s="34" t="s">
        <v>286</v>
      </c>
      <c r="F20" s="107" t="s">
        <v>92</v>
      </c>
      <c r="I20" s="94"/>
      <c r="J20" s="94"/>
      <c r="K20" s="94"/>
      <c r="L20" s="94"/>
      <c r="O20" s="94"/>
      <c r="P20" s="94"/>
      <c r="Q20" s="94"/>
      <c r="R20" s="94"/>
    </row>
    <row r="21" spans="2:18">
      <c r="B21" s="98">
        <f t="shared" si="2"/>
        <v>19</v>
      </c>
      <c r="C21" s="32" t="s">
        <v>109</v>
      </c>
      <c r="D21" s="71" t="s">
        <v>376</v>
      </c>
      <c r="E21" s="34" t="s">
        <v>368</v>
      </c>
      <c r="F21" s="107" t="s">
        <v>110</v>
      </c>
      <c r="H21" s="103" t="s">
        <v>285</v>
      </c>
      <c r="O21" s="94"/>
      <c r="P21" s="94"/>
      <c r="Q21" s="94"/>
      <c r="R21" s="94"/>
    </row>
    <row r="22" spans="2:18" ht="33" thickBot="1">
      <c r="B22" s="98">
        <f t="shared" si="2"/>
        <v>20</v>
      </c>
      <c r="C22" s="32" t="s">
        <v>284</v>
      </c>
      <c r="D22" s="71" t="s">
        <v>377</v>
      </c>
      <c r="E22" s="34" t="s">
        <v>369</v>
      </c>
      <c r="F22" s="107" t="s">
        <v>94</v>
      </c>
      <c r="H22" s="102" t="s">
        <v>14</v>
      </c>
      <c r="I22" s="101" t="s">
        <v>147</v>
      </c>
      <c r="J22" s="101" t="s">
        <v>146</v>
      </c>
      <c r="K22" s="100" t="s">
        <v>17</v>
      </c>
      <c r="L22" s="99" t="s">
        <v>16</v>
      </c>
      <c r="O22" s="94"/>
      <c r="P22" s="94"/>
      <c r="Q22" s="94"/>
      <c r="R22" s="94"/>
    </row>
    <row r="23" spans="2:18" ht="33" thickTop="1">
      <c r="B23" s="115">
        <f t="shared" si="2"/>
        <v>21</v>
      </c>
      <c r="C23" s="56" t="s">
        <v>52</v>
      </c>
      <c r="D23" s="114" t="s">
        <v>283</v>
      </c>
      <c r="E23" s="58" t="s">
        <v>53</v>
      </c>
      <c r="F23" s="113" t="s">
        <v>53</v>
      </c>
      <c r="H23" s="98">
        <v>1</v>
      </c>
      <c r="I23" s="97" t="s">
        <v>111</v>
      </c>
      <c r="J23" s="97"/>
      <c r="K23" s="96" t="s">
        <v>282</v>
      </c>
      <c r="L23" s="33" t="s">
        <v>112</v>
      </c>
      <c r="O23" s="94"/>
      <c r="P23" s="94"/>
      <c r="Q23" s="94"/>
      <c r="R23" s="94"/>
    </row>
    <row r="24" spans="2:18" ht="32.25">
      <c r="B24" s="110">
        <f t="shared" si="2"/>
        <v>22</v>
      </c>
      <c r="C24" s="26" t="s">
        <v>58</v>
      </c>
      <c r="D24" s="109" t="s">
        <v>281</v>
      </c>
      <c r="E24" s="28" t="s">
        <v>59</v>
      </c>
      <c r="F24" s="108" t="s">
        <v>59</v>
      </c>
      <c r="H24" s="98">
        <f t="shared" ref="H24:H37" si="5">H23+1</f>
        <v>2</v>
      </c>
      <c r="I24" s="97" t="s">
        <v>113</v>
      </c>
      <c r="J24" s="97"/>
      <c r="K24" s="96" t="s">
        <v>280</v>
      </c>
      <c r="L24" s="33"/>
      <c r="O24" s="94"/>
      <c r="P24" s="94"/>
      <c r="Q24" s="94"/>
      <c r="R24" s="94"/>
    </row>
    <row r="25" spans="2:18" ht="32.25">
      <c r="B25" s="98">
        <f t="shared" si="2"/>
        <v>23</v>
      </c>
      <c r="C25" s="32" t="s">
        <v>115</v>
      </c>
      <c r="D25" s="71" t="s">
        <v>279</v>
      </c>
      <c r="E25" s="34" t="s">
        <v>278</v>
      </c>
      <c r="F25" s="107" t="s">
        <v>116</v>
      </c>
      <c r="H25" s="98">
        <f t="shared" si="5"/>
        <v>3</v>
      </c>
      <c r="I25" s="97" t="s">
        <v>115</v>
      </c>
      <c r="J25" s="97" t="str">
        <f xml:space="preserve"> LEFT(I25, IF(LEN(I25)=1, 1, LEN(I25)-1)) &amp; "ㆷ"</f>
        <v>ㆩㆷ</v>
      </c>
      <c r="K25" s="104" t="s">
        <v>277</v>
      </c>
      <c r="L25" s="33" t="s">
        <v>276</v>
      </c>
      <c r="O25" s="94"/>
      <c r="P25" s="94"/>
      <c r="Q25" s="94"/>
      <c r="R25" s="94"/>
    </row>
    <row r="26" spans="2:18" ht="32.25">
      <c r="B26" s="98">
        <f t="shared" si="2"/>
        <v>24</v>
      </c>
      <c r="C26" s="32" t="s">
        <v>67</v>
      </c>
      <c r="D26" s="71" t="s">
        <v>275</v>
      </c>
      <c r="E26" s="34" t="s">
        <v>69</v>
      </c>
      <c r="F26" s="107" t="s">
        <v>66</v>
      </c>
      <c r="H26" s="98">
        <f t="shared" si="5"/>
        <v>4</v>
      </c>
      <c r="I26" s="97" t="s">
        <v>121</v>
      </c>
      <c r="J26" s="97" t="str">
        <f xml:space="preserve"> LEFT(I26, IF(LEN(I26)=1, 1, LEN(I26)-1)) &amp; "ㆷ"</f>
        <v>ㆧㆷ</v>
      </c>
      <c r="K26" s="96" t="s">
        <v>274</v>
      </c>
      <c r="L26" s="33" t="s">
        <v>273</v>
      </c>
      <c r="O26" s="94"/>
      <c r="P26" s="94"/>
      <c r="Q26" s="94"/>
      <c r="R26" s="94"/>
    </row>
    <row r="27" spans="2:18" ht="32.25">
      <c r="B27" s="98">
        <f t="shared" si="2"/>
        <v>25</v>
      </c>
      <c r="C27" s="32" t="s">
        <v>121</v>
      </c>
      <c r="D27" s="71" t="s">
        <v>37</v>
      </c>
      <c r="E27" s="34" t="s">
        <v>272</v>
      </c>
      <c r="F27" s="107" t="s">
        <v>122</v>
      </c>
      <c r="H27" s="98">
        <f t="shared" si="5"/>
        <v>5</v>
      </c>
      <c r="I27" s="97" t="s">
        <v>119</v>
      </c>
      <c r="J27" s="97" t="str">
        <f xml:space="preserve"> LEFT(I27, IF(LEN(I27)=1, 1, LEN(I27)-1)) &amp; "ㆷ"</f>
        <v>ㆥㆷ</v>
      </c>
      <c r="K27" s="96" t="s">
        <v>271</v>
      </c>
      <c r="L27" s="33" t="s">
        <v>270</v>
      </c>
      <c r="O27" s="94"/>
      <c r="P27" s="94"/>
      <c r="Q27" s="94"/>
      <c r="R27" s="94"/>
    </row>
    <row r="28" spans="2:18" ht="32.25">
      <c r="B28" s="98">
        <f t="shared" si="2"/>
        <v>26</v>
      </c>
      <c r="C28" s="32" t="s">
        <v>64</v>
      </c>
      <c r="D28" s="71" t="s">
        <v>65</v>
      </c>
      <c r="E28" s="34" t="s">
        <v>66</v>
      </c>
      <c r="F28" s="107" t="s">
        <v>65</v>
      </c>
      <c r="H28" s="98">
        <f t="shared" si="5"/>
        <v>6</v>
      </c>
      <c r="I28" s="97" t="s">
        <v>117</v>
      </c>
      <c r="J28" s="97"/>
      <c r="K28" s="96" t="s">
        <v>269</v>
      </c>
      <c r="L28" s="33" t="s">
        <v>268</v>
      </c>
      <c r="O28" s="94"/>
      <c r="P28" s="94"/>
      <c r="Q28" s="94"/>
      <c r="R28" s="94"/>
    </row>
    <row r="29" spans="2:18" ht="32.25">
      <c r="B29" s="98">
        <f t="shared" si="2"/>
        <v>27</v>
      </c>
      <c r="C29" s="32" t="s">
        <v>61</v>
      </c>
      <c r="D29" s="71" t="s">
        <v>267</v>
      </c>
      <c r="E29" s="34" t="s">
        <v>62</v>
      </c>
      <c r="F29" s="107" t="s">
        <v>62</v>
      </c>
      <c r="H29" s="69">
        <f t="shared" si="5"/>
        <v>7</v>
      </c>
      <c r="I29" s="97" t="s">
        <v>123</v>
      </c>
      <c r="J29" s="97" t="str">
        <f xml:space="preserve"> LEFT(I29, IF(LEN(I29)=1, 1, LEN(I29)-1)) &amp; "ㆷ"</f>
        <v>ㆯㆷ</v>
      </c>
      <c r="K29" s="96" t="s">
        <v>266</v>
      </c>
      <c r="L29" s="33" t="s">
        <v>265</v>
      </c>
      <c r="O29" s="94"/>
      <c r="P29" s="94"/>
      <c r="Q29" s="94"/>
      <c r="R29" s="94"/>
    </row>
    <row r="30" spans="2:18" ht="32.25">
      <c r="B30" s="106">
        <f t="shared" si="2"/>
        <v>28</v>
      </c>
      <c r="C30" s="42" t="s">
        <v>119</v>
      </c>
      <c r="D30" s="73" t="s">
        <v>264</v>
      </c>
      <c r="E30" s="44" t="s">
        <v>263</v>
      </c>
      <c r="F30" s="105" t="s">
        <v>120</v>
      </c>
      <c r="H30" s="69">
        <f t="shared" si="5"/>
        <v>8</v>
      </c>
      <c r="I30" s="97" t="s">
        <v>262</v>
      </c>
      <c r="J30" s="97"/>
      <c r="K30" s="96" t="s">
        <v>261</v>
      </c>
      <c r="L30" s="33" t="s">
        <v>260</v>
      </c>
      <c r="O30" s="94"/>
      <c r="P30" s="94"/>
      <c r="Q30" s="94"/>
      <c r="R30" s="94"/>
    </row>
    <row r="31" spans="2:18" ht="32.25">
      <c r="B31" s="110">
        <f t="shared" si="2"/>
        <v>29</v>
      </c>
      <c r="C31" s="26" t="s">
        <v>54</v>
      </c>
      <c r="D31" s="109" t="s">
        <v>259</v>
      </c>
      <c r="E31" s="28" t="s">
        <v>55</v>
      </c>
      <c r="F31" s="108" t="s">
        <v>55</v>
      </c>
      <c r="H31" s="98">
        <f t="shared" si="5"/>
        <v>9</v>
      </c>
      <c r="I31" s="97" t="s">
        <v>258</v>
      </c>
      <c r="J31" s="97" t="s">
        <v>257</v>
      </c>
      <c r="K31" s="96" t="s">
        <v>256</v>
      </c>
      <c r="L31" s="33" t="s">
        <v>255</v>
      </c>
      <c r="O31" s="94"/>
      <c r="P31" s="94"/>
      <c r="Q31" s="94"/>
      <c r="R31" s="94"/>
    </row>
    <row r="32" spans="2:18" ht="32.25">
      <c r="B32" s="98">
        <f t="shared" si="2"/>
        <v>30</v>
      </c>
      <c r="C32" s="32" t="s">
        <v>111</v>
      </c>
      <c r="D32" s="71" t="s">
        <v>254</v>
      </c>
      <c r="E32" s="34" t="s">
        <v>253</v>
      </c>
      <c r="F32" s="107" t="s">
        <v>112</v>
      </c>
      <c r="H32" s="98">
        <f t="shared" si="5"/>
        <v>10</v>
      </c>
      <c r="I32" s="97" t="s">
        <v>252</v>
      </c>
      <c r="J32" s="97"/>
      <c r="K32" s="96" t="s">
        <v>251</v>
      </c>
      <c r="L32" s="33" t="s">
        <v>250</v>
      </c>
      <c r="O32" s="94"/>
      <c r="P32" s="94"/>
      <c r="Q32" s="94"/>
      <c r="R32" s="94"/>
    </row>
    <row r="33" spans="2:18" ht="32.25">
      <c r="B33" s="98">
        <f t="shared" si="2"/>
        <v>31</v>
      </c>
      <c r="C33" s="32" t="s">
        <v>56</v>
      </c>
      <c r="D33" s="71" t="s">
        <v>249</v>
      </c>
      <c r="E33" s="34" t="s">
        <v>57</v>
      </c>
      <c r="F33" s="107" t="s">
        <v>57</v>
      </c>
      <c r="H33" s="98">
        <f t="shared" si="5"/>
        <v>11</v>
      </c>
      <c r="I33" s="97" t="s">
        <v>248</v>
      </c>
      <c r="J33" s="97"/>
      <c r="K33" s="96" t="s">
        <v>247</v>
      </c>
      <c r="L33" s="33" t="s">
        <v>246</v>
      </c>
      <c r="O33" s="94"/>
      <c r="P33" s="94"/>
      <c r="Q33" s="94"/>
      <c r="R33" s="94"/>
    </row>
    <row r="34" spans="2:18" ht="32.25">
      <c r="B34" s="106">
        <f t="shared" si="2"/>
        <v>32</v>
      </c>
      <c r="C34" s="42" t="s">
        <v>113</v>
      </c>
      <c r="D34" s="73" t="s">
        <v>194</v>
      </c>
      <c r="E34" s="44" t="s">
        <v>245</v>
      </c>
      <c r="F34" s="105" t="s">
        <v>114</v>
      </c>
      <c r="H34" s="98">
        <f t="shared" si="5"/>
        <v>12</v>
      </c>
      <c r="I34" s="97" t="s">
        <v>244</v>
      </c>
      <c r="J34" s="97"/>
      <c r="K34" s="104" t="s">
        <v>243</v>
      </c>
      <c r="L34" s="33" t="s">
        <v>242</v>
      </c>
      <c r="O34" s="94"/>
      <c r="P34" s="94"/>
      <c r="Q34" s="94"/>
      <c r="R34" s="94"/>
    </row>
    <row r="35" spans="2:18">
      <c r="B35" s="98">
        <f t="shared" si="2"/>
        <v>33</v>
      </c>
      <c r="C35" s="32" t="s">
        <v>241</v>
      </c>
      <c r="D35" s="71" t="s">
        <v>240</v>
      </c>
      <c r="E35" s="34" t="s">
        <v>239</v>
      </c>
      <c r="F35" s="107" t="s">
        <v>71</v>
      </c>
      <c r="H35" s="98">
        <f t="shared" si="5"/>
        <v>13</v>
      </c>
      <c r="I35" s="112" t="s">
        <v>238</v>
      </c>
      <c r="J35" s="112"/>
      <c r="K35" s="96" t="s">
        <v>237</v>
      </c>
      <c r="L35" s="33" t="s">
        <v>236</v>
      </c>
      <c r="O35" s="94"/>
      <c r="P35" s="94"/>
      <c r="Q35" s="94"/>
      <c r="R35" s="94"/>
    </row>
    <row r="36" spans="2:18">
      <c r="B36" s="98">
        <f t="shared" ref="B36:B57" si="6">B35+1</f>
        <v>34</v>
      </c>
      <c r="C36" s="32" t="s">
        <v>117</v>
      </c>
      <c r="D36" s="71" t="s">
        <v>86</v>
      </c>
      <c r="E36" s="34" t="s">
        <v>235</v>
      </c>
      <c r="F36" s="107" t="s">
        <v>118</v>
      </c>
      <c r="H36" s="98">
        <f t="shared" si="5"/>
        <v>14</v>
      </c>
      <c r="I36" s="112" t="s">
        <v>234</v>
      </c>
      <c r="J36" s="112"/>
      <c r="K36" s="96" t="s">
        <v>233</v>
      </c>
      <c r="L36" s="33" t="s">
        <v>232</v>
      </c>
      <c r="O36" s="94"/>
      <c r="P36" s="94"/>
      <c r="Q36" s="94"/>
      <c r="R36" s="94"/>
    </row>
    <row r="37" spans="2:18">
      <c r="B37" s="98">
        <f t="shared" si="6"/>
        <v>35</v>
      </c>
      <c r="C37" s="32" t="s">
        <v>72</v>
      </c>
      <c r="D37" s="71" t="s">
        <v>231</v>
      </c>
      <c r="E37" s="34" t="s">
        <v>230</v>
      </c>
      <c r="F37" s="107" t="s">
        <v>73</v>
      </c>
      <c r="H37" s="98">
        <f t="shared" si="5"/>
        <v>15</v>
      </c>
      <c r="I37" s="112" t="s">
        <v>229</v>
      </c>
      <c r="J37" s="112" t="s">
        <v>228</v>
      </c>
      <c r="K37" s="96" t="s">
        <v>227</v>
      </c>
      <c r="L37" s="33" t="s">
        <v>226</v>
      </c>
      <c r="O37" s="94"/>
      <c r="P37" s="94"/>
      <c r="Q37" s="94"/>
      <c r="R37" s="94"/>
    </row>
    <row r="38" spans="2:18" ht="32.25">
      <c r="B38" s="98">
        <f t="shared" si="6"/>
        <v>36</v>
      </c>
      <c r="C38" s="32" t="s">
        <v>123</v>
      </c>
      <c r="D38" s="71" t="s">
        <v>225</v>
      </c>
      <c r="E38" s="34" t="s">
        <v>224</v>
      </c>
      <c r="F38" s="107" t="s">
        <v>124</v>
      </c>
      <c r="I38" s="94"/>
      <c r="J38" s="94"/>
      <c r="K38" s="94"/>
      <c r="L38" s="94"/>
      <c r="O38" s="94"/>
      <c r="P38" s="94"/>
      <c r="Q38" s="94"/>
      <c r="R38" s="94"/>
    </row>
    <row r="39" spans="2:18" ht="32.25">
      <c r="B39" s="98">
        <f t="shared" si="6"/>
        <v>37</v>
      </c>
      <c r="C39" s="32" t="s">
        <v>99</v>
      </c>
      <c r="D39" s="71" t="s">
        <v>223</v>
      </c>
      <c r="E39" s="34" t="s">
        <v>222</v>
      </c>
      <c r="F39" s="107" t="s">
        <v>100</v>
      </c>
      <c r="I39" s="94"/>
      <c r="J39" s="94"/>
      <c r="K39" s="94"/>
      <c r="L39" s="94"/>
      <c r="O39" s="94"/>
      <c r="P39" s="94"/>
      <c r="Q39" s="94"/>
      <c r="R39" s="94"/>
    </row>
    <row r="40" spans="2:18">
      <c r="B40" s="98">
        <f t="shared" si="6"/>
        <v>38</v>
      </c>
      <c r="C40" s="32" t="s">
        <v>125</v>
      </c>
      <c r="D40" s="71" t="s">
        <v>143</v>
      </c>
      <c r="E40" s="34" t="s">
        <v>221</v>
      </c>
      <c r="F40" s="107" t="s">
        <v>126</v>
      </c>
      <c r="H40" s="103" t="s">
        <v>220</v>
      </c>
      <c r="O40" s="94"/>
      <c r="P40" s="94"/>
      <c r="Q40" s="94"/>
      <c r="R40" s="94"/>
    </row>
    <row r="41" spans="2:18" ht="33" thickBot="1">
      <c r="B41" s="98">
        <f t="shared" si="6"/>
        <v>39</v>
      </c>
      <c r="C41" s="32" t="s">
        <v>78</v>
      </c>
      <c r="D41" s="71" t="s">
        <v>219</v>
      </c>
      <c r="E41" s="34" t="s">
        <v>218</v>
      </c>
      <c r="F41" s="107" t="s">
        <v>84</v>
      </c>
      <c r="H41" s="102" t="s">
        <v>14</v>
      </c>
      <c r="I41" s="101" t="s">
        <v>147</v>
      </c>
      <c r="J41" s="101" t="s">
        <v>146</v>
      </c>
      <c r="K41" s="100" t="s">
        <v>17</v>
      </c>
      <c r="L41" s="99" t="s">
        <v>16</v>
      </c>
      <c r="O41" s="94"/>
      <c r="P41" s="94"/>
      <c r="Q41" s="94"/>
      <c r="R41" s="94"/>
    </row>
    <row r="42" spans="2:18" ht="33" thickTop="1">
      <c r="B42" s="98">
        <f t="shared" si="6"/>
        <v>40</v>
      </c>
      <c r="C42" s="32" t="s">
        <v>97</v>
      </c>
      <c r="D42" s="71" t="s">
        <v>217</v>
      </c>
      <c r="E42" s="34" t="s">
        <v>216</v>
      </c>
      <c r="F42" s="107" t="s">
        <v>98</v>
      </c>
      <c r="H42" s="98">
        <v>1</v>
      </c>
      <c r="I42" s="97" t="s">
        <v>215</v>
      </c>
      <c r="J42" s="97" t="str">
        <f xml:space="preserve"> LEFT(I42, IF(LEN(I42)=1, 1, LEN(I42)-1)) &amp; "ㆴ"</f>
        <v>ㄧㆴ</v>
      </c>
      <c r="K42" s="96" t="s">
        <v>214</v>
      </c>
      <c r="L42" s="33" t="s">
        <v>213</v>
      </c>
      <c r="O42" s="94"/>
      <c r="P42" s="94"/>
      <c r="Q42" s="94"/>
      <c r="R42" s="94"/>
    </row>
    <row r="43" spans="2:18" ht="32.25">
      <c r="B43" s="98">
        <f t="shared" si="6"/>
        <v>41</v>
      </c>
      <c r="C43" s="32" t="s">
        <v>76</v>
      </c>
      <c r="D43" s="71" t="s">
        <v>212</v>
      </c>
      <c r="E43" s="34" t="s">
        <v>211</v>
      </c>
      <c r="F43" s="107" t="s">
        <v>210</v>
      </c>
      <c r="H43" s="98">
        <f>H42+1</f>
        <v>2</v>
      </c>
      <c r="I43" s="97" t="s">
        <v>209</v>
      </c>
      <c r="J43" s="97" t="str">
        <f xml:space="preserve"> LEFT(I43, IF(LEN(I43)=1, 1, LEN(I43)-1)) &amp; "ㆴ"</f>
        <v>ㆰㆴ</v>
      </c>
      <c r="K43" s="96" t="s">
        <v>208</v>
      </c>
      <c r="L43" s="33" t="s">
        <v>207</v>
      </c>
      <c r="O43" s="94"/>
      <c r="P43" s="94"/>
      <c r="Q43" s="94"/>
      <c r="R43" s="94"/>
    </row>
    <row r="44" spans="2:18" ht="32.25">
      <c r="B44" s="98">
        <f t="shared" si="6"/>
        <v>42</v>
      </c>
      <c r="C44" s="32" t="s">
        <v>95</v>
      </c>
      <c r="D44" s="71" t="s">
        <v>206</v>
      </c>
      <c r="E44" s="34" t="s">
        <v>205</v>
      </c>
      <c r="F44" s="107" t="s">
        <v>96</v>
      </c>
      <c r="H44" s="98">
        <f>H43+1</f>
        <v>3</v>
      </c>
      <c r="I44" s="97" t="s">
        <v>125</v>
      </c>
      <c r="J44" s="97" t="str">
        <f xml:space="preserve"> LEFT(I44, IF(LEN(I44)=1, 1, LEN(I44)-1)) &amp; "ㆴ"</f>
        <v>ㆱㆴ</v>
      </c>
      <c r="K44" s="104" t="s">
        <v>204</v>
      </c>
      <c r="L44" s="33" t="s">
        <v>203</v>
      </c>
      <c r="O44" s="94"/>
      <c r="P44" s="94"/>
      <c r="Q44" s="94"/>
      <c r="R44" s="94"/>
    </row>
    <row r="45" spans="2:18" ht="32.25">
      <c r="B45" s="98">
        <f t="shared" si="6"/>
        <v>43</v>
      </c>
      <c r="C45" s="32" t="s">
        <v>101</v>
      </c>
      <c r="D45" s="71" t="s">
        <v>202</v>
      </c>
      <c r="E45" s="34" t="s">
        <v>161</v>
      </c>
      <c r="F45" s="107" t="s">
        <v>102</v>
      </c>
      <c r="H45" s="98">
        <f>H44+1</f>
        <v>4</v>
      </c>
      <c r="I45" s="97" t="s">
        <v>201</v>
      </c>
      <c r="J45" s="97" t="str">
        <f xml:space="preserve"> LEFT(I45, IF(LEN(I45)=1, 1, LEN(I45)-1)) &amp; "ㆴ"</f>
        <v>ㄧㆴ</v>
      </c>
      <c r="K45" s="96" t="s">
        <v>200</v>
      </c>
      <c r="L45" s="33" t="s">
        <v>199</v>
      </c>
      <c r="O45" s="94"/>
      <c r="P45" s="94"/>
      <c r="Q45" s="94"/>
      <c r="R45" s="94"/>
    </row>
    <row r="46" spans="2:18" ht="32.25">
      <c r="B46" s="98">
        <f t="shared" si="6"/>
        <v>44</v>
      </c>
      <c r="C46" s="32" t="s">
        <v>127</v>
      </c>
      <c r="D46" s="71" t="s">
        <v>198</v>
      </c>
      <c r="E46" s="34" t="s">
        <v>197</v>
      </c>
      <c r="F46" s="111" t="s">
        <v>75</v>
      </c>
      <c r="I46" s="94"/>
      <c r="J46" s="94"/>
      <c r="K46" s="94"/>
      <c r="L46" s="94"/>
      <c r="O46" s="94"/>
      <c r="P46" s="94"/>
      <c r="Q46" s="94"/>
      <c r="R46" s="94"/>
    </row>
    <row r="47" spans="2:18" ht="32.25">
      <c r="B47" s="98">
        <f t="shared" si="6"/>
        <v>45</v>
      </c>
      <c r="C47" s="32" t="s">
        <v>74</v>
      </c>
      <c r="D47" s="71" t="s">
        <v>196</v>
      </c>
      <c r="E47" s="34" t="s">
        <v>195</v>
      </c>
      <c r="F47" s="107"/>
      <c r="I47" s="94"/>
      <c r="J47" s="94"/>
      <c r="K47" s="94"/>
      <c r="L47" s="94"/>
      <c r="O47" s="94"/>
      <c r="P47" s="94"/>
      <c r="Q47" s="94"/>
      <c r="R47" s="94"/>
    </row>
    <row r="48" spans="2:18">
      <c r="B48" s="110">
        <f t="shared" si="6"/>
        <v>46</v>
      </c>
      <c r="C48" s="26" t="s">
        <v>194</v>
      </c>
      <c r="D48" s="109" t="s">
        <v>193</v>
      </c>
      <c r="E48" s="28"/>
      <c r="F48" s="108">
        <v>1</v>
      </c>
      <c r="H48" s="103" t="s">
        <v>192</v>
      </c>
      <c r="O48" s="94"/>
      <c r="P48" s="94"/>
      <c r="Q48" s="94"/>
      <c r="R48" s="94"/>
    </row>
    <row r="49" spans="2:18" ht="33" thickBot="1">
      <c r="B49" s="98">
        <f t="shared" si="6"/>
        <v>47</v>
      </c>
      <c r="C49" s="32" t="s">
        <v>104</v>
      </c>
      <c r="D49" s="71" t="s">
        <v>191</v>
      </c>
      <c r="E49" s="34"/>
      <c r="F49" s="107">
        <v>2</v>
      </c>
      <c r="H49" s="102" t="s">
        <v>14</v>
      </c>
      <c r="I49" s="101" t="s">
        <v>147</v>
      </c>
      <c r="J49" s="101" t="s">
        <v>146</v>
      </c>
      <c r="K49" s="100" t="s">
        <v>17</v>
      </c>
      <c r="L49" s="99" t="s">
        <v>16</v>
      </c>
      <c r="O49" s="94"/>
      <c r="P49" s="94"/>
      <c r="Q49" s="94"/>
      <c r="R49" s="94"/>
    </row>
    <row r="50" spans="2:18" ht="33" thickTop="1">
      <c r="B50" s="98">
        <f t="shared" si="6"/>
        <v>48</v>
      </c>
      <c r="C50" s="32" t="s">
        <v>105</v>
      </c>
      <c r="D50" s="71" t="s">
        <v>190</v>
      </c>
      <c r="E50" s="34"/>
      <c r="F50" s="107">
        <v>3</v>
      </c>
      <c r="H50" s="98">
        <v>1</v>
      </c>
      <c r="I50" s="97" t="s">
        <v>76</v>
      </c>
      <c r="J50" s="97" t="str">
        <f t="shared" ref="J50:J55" si="7" xml:space="preserve"> LEFT(I50, IF(LEN(I50)=1, 1, LEN(I50)-1)) &amp; "ㆵ"</f>
        <v>ㄣㆵ</v>
      </c>
      <c r="K50" s="96" t="s">
        <v>34</v>
      </c>
      <c r="L50" s="33" t="s">
        <v>189</v>
      </c>
      <c r="O50" s="94"/>
      <c r="P50" s="94"/>
      <c r="Q50" s="94"/>
      <c r="R50" s="94"/>
    </row>
    <row r="51" spans="2:18" ht="32.25">
      <c r="B51" s="98">
        <f t="shared" si="6"/>
        <v>49</v>
      </c>
      <c r="C51" s="32" t="s">
        <v>128</v>
      </c>
      <c r="D51" s="71" t="s">
        <v>30</v>
      </c>
      <c r="E51" s="34"/>
      <c r="F51" s="107" t="s">
        <v>188</v>
      </c>
      <c r="H51" s="98">
        <f>H50+1</f>
        <v>2</v>
      </c>
      <c r="I51" s="97" t="s">
        <v>187</v>
      </c>
      <c r="J51" s="97" t="str">
        <f t="shared" si="7"/>
        <v>ㄧㆵ</v>
      </c>
      <c r="K51" s="96" t="s">
        <v>186</v>
      </c>
      <c r="L51" s="33" t="s">
        <v>185</v>
      </c>
      <c r="O51" s="94"/>
      <c r="P51" s="94"/>
      <c r="Q51" s="94"/>
      <c r="R51" s="94"/>
    </row>
    <row r="52" spans="2:18" ht="32.25">
      <c r="B52" s="98">
        <f t="shared" si="6"/>
        <v>50</v>
      </c>
      <c r="C52" s="32" t="s">
        <v>130</v>
      </c>
      <c r="D52" s="71" t="s">
        <v>184</v>
      </c>
      <c r="E52" s="34"/>
      <c r="F52" s="107" t="s">
        <v>183</v>
      </c>
      <c r="H52" s="98">
        <f>H51+1</f>
        <v>3</v>
      </c>
      <c r="I52" s="97" t="s">
        <v>182</v>
      </c>
      <c r="J52" s="97" t="str">
        <f t="shared" si="7"/>
        <v>ㄨㆵ</v>
      </c>
      <c r="K52" s="104" t="s">
        <v>181</v>
      </c>
      <c r="L52" s="33" t="s">
        <v>180</v>
      </c>
      <c r="O52" s="94"/>
      <c r="P52" s="94"/>
      <c r="Q52" s="94"/>
      <c r="R52" s="94"/>
    </row>
    <row r="53" spans="2:18" ht="32.25">
      <c r="B53" s="98">
        <f t="shared" si="6"/>
        <v>51</v>
      </c>
      <c r="C53" s="32" t="s">
        <v>132</v>
      </c>
      <c r="D53" s="71" t="s">
        <v>179</v>
      </c>
      <c r="E53" s="34"/>
      <c r="F53" s="107" t="s">
        <v>178</v>
      </c>
      <c r="H53" s="98">
        <f>H52+1</f>
        <v>4</v>
      </c>
      <c r="I53" s="97" t="s">
        <v>97</v>
      </c>
      <c r="J53" s="97" t="str">
        <f t="shared" si="7"/>
        <v>ㄢㆵ</v>
      </c>
      <c r="K53" s="96" t="s">
        <v>177</v>
      </c>
      <c r="L53" s="33" t="s">
        <v>176</v>
      </c>
      <c r="O53" s="94"/>
      <c r="P53" s="94"/>
      <c r="Q53" s="94"/>
      <c r="R53" s="94"/>
    </row>
    <row r="54" spans="2:18" ht="32.25">
      <c r="B54" s="98">
        <f t="shared" si="6"/>
        <v>52</v>
      </c>
      <c r="C54" s="32" t="s">
        <v>134</v>
      </c>
      <c r="D54" s="71" t="s">
        <v>175</v>
      </c>
      <c r="E54" s="34"/>
      <c r="F54" s="107" t="s">
        <v>174</v>
      </c>
      <c r="H54" s="98">
        <f>H53+1</f>
        <v>5</v>
      </c>
      <c r="I54" s="97" t="s">
        <v>173</v>
      </c>
      <c r="J54" s="97" t="str">
        <f t="shared" si="7"/>
        <v>ㄧㆵ</v>
      </c>
      <c r="K54" s="96" t="s">
        <v>172</v>
      </c>
      <c r="L54" s="33" t="s">
        <v>171</v>
      </c>
      <c r="O54" s="94"/>
      <c r="P54" s="94"/>
      <c r="Q54" s="94"/>
      <c r="R54" s="94"/>
    </row>
    <row r="55" spans="2:18" ht="32.25">
      <c r="B55" s="98">
        <f t="shared" si="6"/>
        <v>53</v>
      </c>
      <c r="C55" s="32" t="s">
        <v>106</v>
      </c>
      <c r="D55" s="71" t="s">
        <v>170</v>
      </c>
      <c r="E55" s="34"/>
      <c r="F55" s="107">
        <v>5</v>
      </c>
      <c r="H55" s="98">
        <f>H54+1</f>
        <v>6</v>
      </c>
      <c r="I55" s="97" t="s">
        <v>169</v>
      </c>
      <c r="J55" s="97" t="str">
        <f t="shared" si="7"/>
        <v>ㄨㆵ</v>
      </c>
      <c r="K55" s="96" t="s">
        <v>168</v>
      </c>
      <c r="L55" s="33" t="s">
        <v>167</v>
      </c>
      <c r="O55" s="94"/>
      <c r="P55" s="94"/>
      <c r="Q55" s="94"/>
      <c r="R55" s="94"/>
    </row>
    <row r="56" spans="2:18" ht="32.25">
      <c r="B56" s="98">
        <f t="shared" si="6"/>
        <v>54</v>
      </c>
      <c r="C56" s="32" t="s">
        <v>107</v>
      </c>
      <c r="D56" s="71" t="s">
        <v>166</v>
      </c>
      <c r="E56" s="34"/>
      <c r="F56" s="107">
        <v>7</v>
      </c>
      <c r="I56" s="94"/>
      <c r="J56" s="94"/>
      <c r="K56" s="94"/>
      <c r="L56" s="94"/>
      <c r="O56" s="94"/>
      <c r="P56" s="94"/>
      <c r="Q56" s="94"/>
      <c r="R56" s="94"/>
    </row>
    <row r="57" spans="2:18" ht="32.25">
      <c r="B57" s="106">
        <f t="shared" si="6"/>
        <v>55</v>
      </c>
      <c r="C57" s="42" t="s">
        <v>108</v>
      </c>
      <c r="D57" s="73"/>
      <c r="E57" s="44"/>
      <c r="F57" s="105">
        <v>8</v>
      </c>
      <c r="I57" s="94"/>
      <c r="J57" s="94"/>
      <c r="K57" s="94"/>
      <c r="L57" s="94"/>
      <c r="O57" s="94"/>
      <c r="P57" s="94"/>
      <c r="Q57" s="94"/>
      <c r="R57" s="94"/>
    </row>
    <row r="58" spans="2:18">
      <c r="H58" s="103" t="s">
        <v>165</v>
      </c>
      <c r="O58" s="94"/>
      <c r="P58" s="94"/>
      <c r="Q58" s="94"/>
      <c r="R58" s="94"/>
    </row>
    <row r="59" spans="2:18" ht="33" thickBot="1">
      <c r="H59" s="102" t="s">
        <v>14</v>
      </c>
      <c r="I59" s="101" t="s">
        <v>147</v>
      </c>
      <c r="J59" s="101" t="s">
        <v>146</v>
      </c>
      <c r="K59" s="100" t="s">
        <v>17</v>
      </c>
      <c r="L59" s="99" t="s">
        <v>16</v>
      </c>
      <c r="O59" s="94"/>
      <c r="P59" s="94"/>
      <c r="Q59" s="94"/>
      <c r="R59" s="94"/>
    </row>
    <row r="60" spans="2:18" ht="33" thickTop="1">
      <c r="H60" s="98">
        <v>1</v>
      </c>
      <c r="I60" s="97" t="s">
        <v>95</v>
      </c>
      <c r="J60" s="97" t="str">
        <f t="shared" ref="J60:J66" si="8" xml:space="preserve"> LEFT(I60, IF(LEN(I60)=1, 1, LEN(I60)-1)) &amp; "ㆻ"</f>
        <v>ㄤㆻ</v>
      </c>
      <c r="K60" s="96" t="s">
        <v>164</v>
      </c>
      <c r="L60" s="33" t="s">
        <v>163</v>
      </c>
      <c r="O60" s="94"/>
      <c r="P60" s="94"/>
      <c r="Q60" s="94"/>
      <c r="R60" s="94"/>
    </row>
    <row r="61" spans="2:18" ht="32.25">
      <c r="H61" s="98">
        <f>H60+1</f>
        <v>2</v>
      </c>
      <c r="I61" s="97" t="s">
        <v>127</v>
      </c>
      <c r="J61" s="97" t="str">
        <f t="shared" si="8"/>
        <v>ㄥㆻ</v>
      </c>
      <c r="K61" s="96" t="s">
        <v>162</v>
      </c>
      <c r="L61" s="33"/>
      <c r="O61" s="94"/>
      <c r="P61" s="94"/>
      <c r="Q61" s="94"/>
      <c r="R61" s="94"/>
    </row>
    <row r="62" spans="2:18" ht="32.25">
      <c r="H62" s="98">
        <f>H61+1</f>
        <v>3</v>
      </c>
      <c r="I62" s="97" t="s">
        <v>101</v>
      </c>
      <c r="J62" s="97" t="str">
        <f t="shared" si="8"/>
        <v>ㆲㆻ</v>
      </c>
      <c r="K62" s="104" t="s">
        <v>161</v>
      </c>
      <c r="L62" s="33" t="s">
        <v>160</v>
      </c>
      <c r="O62" s="94"/>
      <c r="P62" s="94"/>
      <c r="Q62" s="94"/>
      <c r="R62" s="94"/>
    </row>
    <row r="63" spans="2:18" ht="32.25">
      <c r="H63" s="98">
        <f>H62+1</f>
        <v>4</v>
      </c>
      <c r="I63" s="97" t="s">
        <v>159</v>
      </c>
      <c r="J63" s="97" t="str">
        <f t="shared" si="8"/>
        <v>ㄧㆻ</v>
      </c>
      <c r="K63" s="96" t="s">
        <v>158</v>
      </c>
      <c r="L63" s="33" t="s">
        <v>157</v>
      </c>
      <c r="O63" s="94"/>
      <c r="P63" s="94"/>
      <c r="Q63" s="94"/>
      <c r="R63" s="94"/>
    </row>
    <row r="64" spans="2:18" ht="32.25">
      <c r="H64" s="98">
        <f>H63+1</f>
        <v>5</v>
      </c>
      <c r="I64" s="97" t="s">
        <v>156</v>
      </c>
      <c r="J64" s="97" t="str">
        <f t="shared" si="8"/>
        <v>ㄧㆻ</v>
      </c>
      <c r="K64" s="96" t="s">
        <v>153</v>
      </c>
      <c r="L64" s="33" t="s">
        <v>155</v>
      </c>
      <c r="O64" s="94"/>
      <c r="P64" s="94"/>
      <c r="Q64" s="94"/>
      <c r="R64" s="94"/>
    </row>
    <row r="65" spans="8:18" ht="32.25">
      <c r="H65" s="98">
        <f>H64+1</f>
        <v>6</v>
      </c>
      <c r="I65" s="97" t="s">
        <v>154</v>
      </c>
      <c r="J65" s="97" t="str">
        <f t="shared" si="8"/>
        <v>ㄧㆻ</v>
      </c>
      <c r="K65" s="96" t="s">
        <v>153</v>
      </c>
      <c r="L65" s="33" t="s">
        <v>152</v>
      </c>
      <c r="O65" s="94"/>
      <c r="P65" s="94"/>
      <c r="Q65" s="94"/>
      <c r="R65" s="94"/>
    </row>
    <row r="66" spans="8:18" ht="32.25">
      <c r="H66" s="98">
        <v>7</v>
      </c>
      <c r="I66" s="97" t="s">
        <v>151</v>
      </c>
      <c r="J66" s="97" t="str">
        <f t="shared" si="8"/>
        <v>ㄨㆻ</v>
      </c>
      <c r="K66" s="96" t="s">
        <v>150</v>
      </c>
      <c r="L66" s="33" t="s">
        <v>149</v>
      </c>
      <c r="O66" s="94"/>
      <c r="P66" s="94"/>
      <c r="Q66" s="94"/>
      <c r="R66" s="94"/>
    </row>
    <row r="67" spans="8:18">
      <c r="O67" s="94"/>
      <c r="P67" s="94"/>
      <c r="Q67" s="94"/>
      <c r="R67" s="94"/>
    </row>
    <row r="68" spans="8:18">
      <c r="O68" s="94"/>
      <c r="P68" s="94"/>
      <c r="Q68" s="94"/>
      <c r="R68" s="94"/>
    </row>
    <row r="69" spans="8:18">
      <c r="H69" s="103" t="s">
        <v>148</v>
      </c>
      <c r="O69" s="94"/>
      <c r="P69" s="94"/>
      <c r="Q69" s="94"/>
      <c r="R69" s="94"/>
    </row>
    <row r="70" spans="8:18" ht="33" thickBot="1">
      <c r="H70" s="102" t="s">
        <v>14</v>
      </c>
      <c r="I70" s="101" t="s">
        <v>147</v>
      </c>
      <c r="J70" s="101" t="s">
        <v>146</v>
      </c>
      <c r="K70" s="100" t="s">
        <v>17</v>
      </c>
      <c r="L70" s="99" t="s">
        <v>16</v>
      </c>
      <c r="O70" s="94"/>
      <c r="P70" s="94"/>
      <c r="Q70" s="94"/>
      <c r="R70" s="94"/>
    </row>
    <row r="71" spans="8:18" ht="33" thickTop="1">
      <c r="H71" s="98">
        <v>1</v>
      </c>
      <c r="I71" s="97" t="s">
        <v>145</v>
      </c>
      <c r="J71" s="97" t="str">
        <f xml:space="preserve"> LEFT(I71, IF(LEN(I71)=1, 1, LEN(I71)-1)) &amp; "ㆷ"</f>
        <v>ㆬㆷ</v>
      </c>
      <c r="K71" s="96" t="s">
        <v>144</v>
      </c>
      <c r="L71" s="33" t="s">
        <v>143</v>
      </c>
      <c r="O71" s="94"/>
      <c r="P71" s="94"/>
      <c r="Q71" s="94"/>
      <c r="R71" s="94"/>
    </row>
    <row r="72" spans="8:18" ht="32.25">
      <c r="H72" s="98">
        <f>H71+1</f>
        <v>2</v>
      </c>
      <c r="I72" s="97" t="s">
        <v>142</v>
      </c>
      <c r="J72" s="97" t="str">
        <f xml:space="preserve"> LEFT(I72, IF(LEN(I72)=1, 1, LEN(I72)-1)) &amp; "ㆷ"</f>
        <v>ㆭㆷ</v>
      </c>
      <c r="K72" s="96" t="s">
        <v>141</v>
      </c>
      <c r="L72" s="33" t="s">
        <v>140</v>
      </c>
      <c r="O72" s="94"/>
      <c r="P72" s="94"/>
      <c r="Q72" s="94"/>
      <c r="R72" s="94"/>
    </row>
  </sheetData>
  <phoneticPr fontId="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136" t="str">
        <f xml:space="preserve"> IFERROR( MID($A$6, $F3, 1), "")</f>
        <v>p</v>
      </c>
      <c r="H3" s="136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137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136" t="str">
        <f t="shared" ref="G4:G44" si="2" xml:space="preserve"> IFERROR( MID($A$6, $F4, 1), "")</f>
        <v>P</v>
      </c>
      <c r="H4" s="136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365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136" t="str">
        <f t="shared" si="2"/>
        <v>m</v>
      </c>
      <c r="H5" s="136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136" t="str">
        <f t="shared" si="2"/>
        <v>b</v>
      </c>
      <c r="H6" s="136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136" t="str">
        <f t="shared" si="2"/>
        <v>t</v>
      </c>
      <c r="H7" s="136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136" t="str">
        <f t="shared" si="2"/>
        <v>T</v>
      </c>
      <c r="H8" s="136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137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136" t="str">
        <f t="shared" si="2"/>
        <v>n</v>
      </c>
      <c r="H9" s="136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136" t="str">
        <f t="shared" si="2"/>
        <v>d</v>
      </c>
      <c r="H10" s="136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136" t="str">
        <f t="shared" si="2"/>
        <v>k</v>
      </c>
      <c r="H11" s="136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136" t="str">
        <f t="shared" si="2"/>
        <v>K</v>
      </c>
      <c r="H12" s="136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137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136" t="str">
        <f t="shared" si="2"/>
        <v>h</v>
      </c>
      <c r="H13" s="136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136" t="str">
        <f t="shared" si="2"/>
        <v>j</v>
      </c>
      <c r="H14" s="136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136" t="str">
        <f t="shared" si="2"/>
        <v>J</v>
      </c>
      <c r="H15" s="136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136" t="str">
        <f t="shared" si="2"/>
        <v>S</v>
      </c>
      <c r="H16" s="136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136" t="str">
        <f t="shared" si="2"/>
        <v>g</v>
      </c>
      <c r="H17" s="136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136" t="str">
        <f t="shared" si="2"/>
        <v>q</v>
      </c>
      <c r="H18" s="136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136" t="str">
        <f t="shared" si="2"/>
        <v>z</v>
      </c>
      <c r="H19" s="136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136" t="str">
        <f t="shared" si="2"/>
        <v>c</v>
      </c>
      <c r="H20" s="136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136" t="str">
        <f t="shared" si="2"/>
        <v>C</v>
      </c>
      <c r="H21" s="136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136" t="str">
        <f t="shared" si="2"/>
        <v>s</v>
      </c>
      <c r="H22" s="136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136" t="str">
        <f t="shared" si="2"/>
        <v>i</v>
      </c>
      <c r="H23" s="136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136" t="str">
        <f t="shared" si="2"/>
        <v>u</v>
      </c>
      <c r="H24" s="136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136" t="str">
        <f t="shared" si="2"/>
        <v>B</v>
      </c>
      <c r="H25" s="136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136" t="str">
        <f t="shared" si="2"/>
        <v>a</v>
      </c>
      <c r="H26" s="136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136" t="str">
        <f t="shared" si="2"/>
        <v>o</v>
      </c>
      <c r="H27" s="136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136" t="str">
        <f t="shared" si="2"/>
        <v>ø</v>
      </c>
      <c r="H28" s="136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136" t="str">
        <f t="shared" si="2"/>
        <v>M</v>
      </c>
      <c r="H29" s="136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136" t="str">
        <f t="shared" si="2"/>
        <v>I</v>
      </c>
      <c r="H30" s="136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136" t="str">
        <f t="shared" si="2"/>
        <v>e</v>
      </c>
      <c r="H31" s="136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136" t="str">
        <f t="shared" si="2"/>
        <v>U</v>
      </c>
      <c r="H32" s="136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136" t="str">
        <f t="shared" si="2"/>
        <v>Y</v>
      </c>
      <c r="H33" s="136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136" t="str">
        <f t="shared" si="2"/>
        <v>L</v>
      </c>
      <c r="H34" s="136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136" t="str">
        <f t="shared" si="2"/>
        <v>D</v>
      </c>
      <c r="H35" s="136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136" t="str">
        <f t="shared" si="2"/>
        <v>Q</v>
      </c>
      <c r="H36" s="136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136" t="str">
        <f t="shared" si="2"/>
        <v>G</v>
      </c>
      <c r="H37" s="136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136" t="str">
        <f t="shared" si="2"/>
        <v>N</v>
      </c>
      <c r="H38" s="136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136" t="str">
        <f t="shared" si="2"/>
        <v>1</v>
      </c>
      <c r="H39" s="136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364</v>
      </c>
    </row>
    <row r="40" spans="1:30" ht="32.25">
      <c r="F40" s="2">
        <f t="shared" si="1"/>
        <v>38</v>
      </c>
      <c r="G40" s="136" t="str">
        <f t="shared" si="2"/>
        <v>2</v>
      </c>
      <c r="H40" s="136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136" t="str">
        <f t="shared" si="2"/>
        <v>3</v>
      </c>
      <c r="H41" s="136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136" t="str">
        <f t="shared" si="2"/>
        <v>5</v>
      </c>
      <c r="H42" s="136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136" t="str">
        <f t="shared" si="2"/>
        <v>7</v>
      </c>
      <c r="H43" s="136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136" t="str">
        <f t="shared" si="2"/>
        <v>0</v>
      </c>
      <c r="H44" s="136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>
      <selection activeCell="T11" sqref="T11"/>
    </sheetView>
  </sheetViews>
  <sheetFormatPr defaultRowHeight="21"/>
  <sheetData/>
  <phoneticPr fontId="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19</vt:i4>
      </vt:variant>
    </vt:vector>
  </HeadingPairs>
  <TitlesOfParts>
    <vt:vector size="30" baseType="lpstr">
      <vt:lpstr>使用按鍵解析</vt:lpstr>
      <vt:lpstr>注音編碼對照表</vt:lpstr>
      <vt:lpstr>RIME設定解析</vt:lpstr>
      <vt:lpstr>RIME設定解析 (2)</vt:lpstr>
      <vt:lpstr>方音符號V2</vt:lpstr>
      <vt:lpstr>方音符號</vt:lpstr>
      <vt:lpstr>鍵盤設計</vt:lpstr>
      <vt:lpstr>注音符號、電腦鍵盤與音標編碼</vt:lpstr>
      <vt:lpstr>台語方音字典編碼</vt:lpstr>
      <vt:lpstr>RIME對映編碼 (台語方音)</vt:lpstr>
      <vt:lpstr>參考鍵盤</vt:lpstr>
      <vt:lpstr>RIME設定解析!方音符號</vt:lpstr>
      <vt:lpstr>'RIME設定解析 (2)'!方音符號</vt:lpstr>
      <vt:lpstr>'RIME對映編碼 (台語方音)'!方音符號</vt:lpstr>
      <vt:lpstr>RIME設定解析!注音符號</vt:lpstr>
      <vt:lpstr>'RIME設定解析 (2)'!注音符號</vt:lpstr>
      <vt:lpstr>RIME設定解析!注音編碼</vt:lpstr>
      <vt:lpstr>'RIME設定解析 (2)'!注音編碼</vt:lpstr>
      <vt:lpstr>注音編碼</vt:lpstr>
      <vt:lpstr>RIME設定解析!拼音字母</vt:lpstr>
      <vt:lpstr>'RIME設定解析 (2)'!拼音字母</vt:lpstr>
      <vt:lpstr>RIME設定解析!按鍵編碼</vt:lpstr>
      <vt:lpstr>'RIME設定解析 (2)'!按鍵編碼</vt:lpstr>
      <vt:lpstr>'RIME對映編碼 (台語方音)'!按鍵編碼</vt:lpstr>
      <vt:lpstr>RIME設定解析!鍵盤位置</vt:lpstr>
      <vt:lpstr>'RIME設定解析 (2)'!鍵盤位置</vt:lpstr>
      <vt:lpstr>'RIME對映編碼 (台語方音)'!鍵盤位置</vt:lpstr>
      <vt:lpstr>RIME設定解析!鍵盤按鍵</vt:lpstr>
      <vt:lpstr>'RIME設定解析 (2)'!鍵盤按鍵</vt:lpstr>
      <vt:lpstr>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2024-10-10T10:34:00Z</dcterms:modified>
</cp:coreProperties>
</file>