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12EE73BF-F0B2-4DDB-9BFA-D9096F4D5771}" xr6:coauthVersionLast="47" xr6:coauthVersionMax="47" xr10:uidLastSave="{00000000-0000-0000-0000-000000000000}"/>
  <bookViews>
    <workbookView xWindow="-120" yWindow="-120" windowWidth="29040" windowHeight="15720" activeTab="2" xr2:uid="{7FF7F740-F631-4A1E-9C4D-C5EB90769954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5" l="1"/>
  <c r="N79" i="5"/>
  <c r="AI24" i="26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I18" i="5" l="1"/>
  <c r="AN41" i="5"/>
  <c r="D18" i="5" a="1"/>
  <c r="D18" i="5" s="1"/>
  <c r="E52" i="5" s="1"/>
  <c r="D17" i="5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O61" i="5"/>
  <c r="BF16" i="5" a="1"/>
  <c r="BF16" i="5" s="1"/>
  <c r="S61" i="22"/>
  <c r="T61" i="22"/>
  <c r="BN61" i="5" a="1"/>
  <c r="AM42" i="5" l="1"/>
  <c r="AN42" i="5"/>
  <c r="AN43" i="5" s="1"/>
  <c r="AC32" i="5"/>
  <c r="E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E9" i="23"/>
  <c r="D2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50" i="5" a="1"/>
  <c r="BN15" i="5" a="1"/>
  <c r="BN59" i="5" a="1"/>
  <c r="BN19" i="5" a="1"/>
  <c r="BN58" i="5" a="1"/>
  <c r="BN17" i="5" a="1"/>
  <c r="BN31" i="5" a="1"/>
  <c r="BN48" i="5" a="1"/>
  <c r="BN43" i="5" a="1"/>
  <c r="BN55" i="5" a="1"/>
  <c r="BN23" i="5" a="1"/>
  <c r="BN10" i="5" a="1"/>
  <c r="BN7" i="5" a="1"/>
  <c r="BN27" i="5" a="1"/>
  <c r="BN39" i="5" a="1"/>
  <c r="BN29" i="5" a="1"/>
  <c r="BN56" i="5" a="1"/>
  <c r="BN6" i="5" a="1"/>
  <c r="BN26" i="5" a="1"/>
  <c r="BN51" i="5" a="1"/>
  <c r="BN8" i="5" a="1"/>
  <c r="BN60" i="5" a="1"/>
  <c r="BN30" i="5" a="1"/>
  <c r="BN18" i="5" a="1"/>
  <c r="BN9" i="5" a="1"/>
  <c r="BN41" i="5" a="1"/>
  <c r="BN20" i="5" a="1"/>
  <c r="BN52" i="5" a="1"/>
  <c r="BN47" i="5" a="1"/>
  <c r="BN45" i="5" a="1"/>
  <c r="BN57" i="5" a="1"/>
  <c r="BN11" i="5" a="1"/>
  <c r="BN53" i="5" a="1"/>
  <c r="BN32" i="5" a="1"/>
  <c r="BN21" i="5" a="1"/>
  <c r="BN37" i="5" a="1"/>
  <c r="BN12" i="5" a="1"/>
  <c r="BN16" i="5" a="1"/>
  <c r="BN54" i="5" a="1"/>
  <c r="BN42" i="5" a="1"/>
  <c r="BN22" i="5" a="1"/>
  <c r="BN14" i="5" a="1"/>
  <c r="BN28" i="5" a="1"/>
  <c r="BN33" i="5" a="1"/>
  <c r="BN36" i="5" a="1"/>
  <c r="BN13" i="5" a="1"/>
  <c r="BN38" i="5" a="1"/>
  <c r="BN40" i="5" a="1"/>
  <c r="BN25" i="5" a="1"/>
  <c r="BN49" i="5" a="1"/>
  <c r="BN35" i="5" a="1"/>
  <c r="BN44" i="5" a="1"/>
  <c r="BN24" i="5" a="1"/>
  <c r="BN34" i="5" a="1"/>
  <c r="BN46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2" i="23"/>
  <c r="F9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9" i="23" l="1"/>
  <c r="F2" i="23"/>
  <c r="Q50" i="22"/>
  <c r="Q51" i="22"/>
  <c r="U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Q5" i="22" l="1"/>
  <c r="Q8" i="22" l="1"/>
  <c r="V37" i="5"/>
  <c r="BR5" i="5" a="1"/>
  <c r="BT5" i="5" a="1"/>
  <c r="E41" i="5"/>
  <c r="BD56" i="5" s="1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E42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<sst xmlns="http://schemas.openxmlformats.org/spreadsheetml/2006/main" count="23335" uniqueCount="8526">
  <si>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</si>
  <si>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</si>
  <si>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</si>
  <si>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</si>
  <si>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</si>
  <si>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</si>
  <si>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</si>
  <si>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</si>
  <si>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</si>
  <si>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</si>
  <si>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</si>
  <si>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</si>
  <si>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</si>
  <si>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</si>
  <si>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</si>
  <si>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</si>
  <si>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</si>
  <si>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</si>
  <si>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</si>
  <si>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</si>
  <si>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</si>
  <si>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</si>
  <si>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</si>
  <si>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</si>
  <si>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</si>
  <si>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</si>
  <si>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</si>
  <si>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</si>
  <si>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</si>
  <si>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</si>
  <si>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</si>
  <si>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</si>
  <si>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</si>
  <si>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</si>
  <si>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</si>
  <si>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</si>
  <si>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</si>
  <si>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</si>
  <si>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</si>
  <si>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</si>
  <si>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</si>
  <si>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</si>
  <si>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</si>
  <si>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</si>
  <si>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</si>
  <si>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</si>
  <si>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</si>
  <si>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</si>
  <si>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</si>
  <si>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</si>
  <si>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</si>
  <si>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</si>
  <si>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</si>
  <si>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</si>
  <si>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</si>
  <si>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</si>
  <si>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</si>
  <si>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</si>
  <si>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</si>
  <si>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</si>
  <si>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</si>
  <si>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</si>
  <si>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</si>
  <si>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</si>
  <si>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</si>
  <si>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</si>
  <si>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</si>
  <si>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</si>
  <si>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</si>
  <si>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</si>
  <si>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</si>
  <si>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</si>
  <si>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</si>
  <si>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</si>
  <si>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</si>
  <si>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</si>
  <si>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</si>
  <si>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</si>
  <si>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</si>
  <si>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</si>
  <si>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</si>
  <si>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</si>
  <si>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</si>
  <si>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</si>
  <si>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</si>
  <si>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</si>
  <si>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</si>
  <si>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</si>
  <si>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</si>
  <si>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</si>
  <si>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</si>
  <si>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</si>
  <si>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</si>
  <si>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</si>
  <si>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</si>
  <si>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</si>
  <si>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</si>
  <si>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</si>
  <si>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</si>
  <si>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</si>
  <si>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</si>
  <si>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</si>
  <si>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</si>
  <si>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</si>
  <si>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</si>
  <si>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</si>
  <si>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</si>
  <si>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</si>
  <si>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</si>
  <si>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</si>
  <si>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</si>
  <si>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</si>
  <si>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</si>
  <si>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</si>
  <si>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</si>
  <si>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</si>
  <si>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</si>
  <si>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</si>
  <si>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</si>
  <si>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</si>
  <si>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</si>
  <si>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</si>
  <si>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</si>
  <si>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</si>
  <si>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</si>
  <si>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</si>
  <si>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</si>
  <si>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</si>
  <si>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</si>
  <si>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</si>
  <si>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</si>
  <si>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</si>
  <si>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</si>
  <si>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</si>
  <si>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</si>
  <si>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</si>
  <si>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</si>
  <si>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</si>
  <si>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</si>
  <si>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</si>
  <si>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</si>
  <si>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</si>
  <si>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</si>
  <si>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</si>
  <si>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</si>
  <si>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</si>
  <si>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</si>
  <si>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</si>
  <si>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</si>
  <si>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</si>
  <si>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</si>
  <si>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</si>
  <si>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</si>
  <si>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</si>
  <si>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</si>
  <si>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</si>
  <si>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</si>
  <si>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</si>
  <si>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</si>
  <si>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</si>
  <si>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</si>
  <si>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</si>
  <si>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</si>
  <si>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</si>
  <si>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</si>
  <si>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</si>
  <si>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</si>
  <si>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</si>
  <si>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</si>
  <si>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</si>
  <si>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</si>
  <si>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</si>
  <si>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</si>
  <si>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</si>
  <si>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</si>
  <si>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</si>
  <si>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</si>
  <si>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</si>
  <si>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</si>
  <si>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</si>
  <si>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</si>
  <si>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</si>
  <si>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</si>
  <si>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</si>
  <si>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</si>
  <si>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</si>
  <si>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</si>
  <si>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</si>
  <si>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</si>
  <si>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</si>
  <si>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</si>
  <si>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</si>
  <si>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</si>
  <si>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</si>
  <si>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</si>
  <si>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</si>
  <si>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</si>
  <si>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</si>
  <si>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</si>
  <si>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</si>
  <si>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</si>
  <si>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</si>
  <si>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</si>
  <si>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</si>
  <si>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</si>
  <si>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</si>
  <si>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</si>
  <si>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</si>
  <si>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</si>
  <si>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</si>
  <si>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</si>
  <si>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</si>
  <si>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</si>
  <si>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</si>
  <si>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</si>
  <si>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</si>
  <si>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</si>
  <si>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</si>
  <si>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</si>
  <si>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</si>
  <si>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</si>
  <si>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</si>
  <si>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</si>
  <si>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</si>
  <si>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</si>
  <si>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</si>
  <si>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</si>
  <si>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</si>
  <si>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</si>
  <si>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</si>
  <si>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</si>
  <si>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</si>
  <si>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</si>
  <si>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</si>
  <si>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</si>
  <si>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</si>
  <si>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</si>
  <si>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</si>
  <si>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</si>
  <si>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</si>
  <si>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</si>
  <si>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</si>
  <si>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</si>
  <si>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</si>
  <si>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</si>
  <si>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</si>
  <si>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</si>
  <si>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</si>
  <si>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</si>
  <si>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</si>
  <si>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</si>
  <si>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</si>
  <si>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</si>
  <si>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</si>
  <si>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</si>
  <si>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</si>
  <si>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</si>
  <si>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</si>
  <si>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</si>
  <si>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</si>
  <si>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</si>
  <si>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</si>
  <si>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</si>
  <si>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</si>
  <si>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</si>
  <si>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</si>
  <si>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</si>
  <si>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</si>
  <si>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</si>
  <si>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</si>
  <si>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</si>
  <si>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</si>
  <si>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</si>
  <si>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</si>
  <si>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</si>
  <si>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</si>
  <si>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</si>
  <si>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</si>
  <si>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</si>
  <si>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</si>
  <si>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</si>
  <si>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</si>
  <si>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</si>
  <si>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</si>
  <si>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</si>
  <si>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</si>
  <si>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</si>
  <si>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</si>
  <si>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</si>
  <si>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</si>
  <si>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</si>
  <si>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</si>
  <si>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</si>
  <si>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</si>
  <si>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</si>
  <si>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</si>
  <si>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</si>
  <si>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</si>
  <si>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</si>
  <si>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</si>
  <si>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</si>
  <si>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</si>
  <si>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</si>
  <si>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</si>
  <si>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</si>
  <si>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</si>
  <si>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</si>
  <si>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</si>
  <si>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</si>
  <si>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</si>
  <si>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</si>
  <si>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</si>
  <si>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</si>
  <si>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</si>
  <si>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</si>
  <si>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</si>
  <si>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</si>
  <si>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</si>
  <si>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</si>
  <si>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</si>
  <si>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</si>
  <si>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</si>
  <si>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</si>
  <si>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</si>
  <si>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</si>
  <si>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</si>
  <si>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</si>
  <si>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</si>
  <si>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</si>
  <si>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</si>
  <si>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</si>
  <si>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</si>
  <si>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</si>
  <si>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</si>
  <si>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</si>
  <si>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</si>
  <si>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</si>
  <si>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</si>
  <si>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</si>
  <si>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</si>
  <si>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</si>
  <si>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</si>
  <si>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</si>
  <si>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</si>
  <si>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</si>
  <si>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</si>
  <si>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</si>
  <si>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</si>
  <si>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</si>
  <si>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</si>
  <si>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</si>
  <si>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</si>
  <si>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</si>
  <si>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</si>
  <si>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</si>
  <si>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</si>
  <si>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</si>
  <si>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</si>
  <si>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</si>
  <si>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</si>
  <si>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</si>
  <si>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</si>
  <si>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</si>
  <si>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</si>
  <si>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</si>
  <si>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</si>
  <si>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</si>
  <si>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</si>
  <si>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</si>
  <si>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</si>
  <si>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</si>
  <si>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</si>
  <si>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</si>
  <si>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</si>
  <si>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</si>
  <si>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</si>
  <si>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</si>
  <si>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</si>
  <si>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</si>
  <si>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</si>
  <si>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</si>
  <si>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</si>
  <si>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</si>
  <si>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</si>
  <si>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</si>
  <si>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</si>
  <si>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</si>
  <si>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</si>
  <si>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</si>
  <si>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</si>
  <si>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</si>
  <si>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</si>
  <si>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</si>
  <si>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</si>
  <si>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</si>
  <si>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</si>
  <si>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</si>
  <si>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</si>
  <si>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</si>
  <si>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</si>
  <si>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</si>
  <si>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</si>
  <si>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</si>
  <si>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</si>
  <si>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</si>
  <si>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</si>
  <si>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</si>
  <si>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</si>
  <si>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</si>
  <si>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</si>
  <si>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</si>
  <si>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</si>
  <si>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</si>
  <si>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</si>
  <si>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</si>
  <si>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</si>
  <si>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</si>
  <si>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</si>
  <si>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</si>
  <si>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</si>
  <si>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</si>
  <si>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</si>
  <si>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</si>
  <si>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</si>
  <si>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</si>
  <si>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</si>
  <si>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</si>
  <si>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</si>
  <si>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</si>
  <si>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</si>
  <si>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</si>
  <si>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</si>
  <si>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</si>
  <si>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</si>
  <si>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</si>
  <si>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</si>
  <si>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</si>
  <si>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</si>
  <si>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</si>
  <si>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</si>
  <si>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</si>
  <si>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</si>
  <si>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</si>
  <si>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</si>
  <si>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</si>
  <si>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</si>
  <si>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</si>
  <si>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</si>
  <si>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</si>
  <si>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</si>
  <si>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</si>
  <si>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</si>
  <si>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</si>
  <si>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</si>
  <si>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</si>
  <si>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</si>
  <si>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</si>
  <si>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</si>
  <si>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</si>
  <si>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</si>
  <si>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</si>
  <si>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</si>
  <si>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</si>
  <si>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</si>
  <si>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</si>
  <si>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</si>
  <si>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</si>
  <si>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</si>
  <si>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</si>
  <si>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</si>
  <si>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</si>
  <si>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</si>
  <si>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</si>
  <si>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</si>
  <si>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</si>
  <si>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</si>
  <si>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</si>
  <si>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</si>
  <si>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</si>
  <si>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</si>
  <si>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</si>
  <si>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</si>
  <si>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</si>
  <si>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</si>
  <si>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</si>
  <si>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</si>
  <si>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</si>
  <si>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</si>
  <si>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</si>
  <si>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</si>
  <si>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</si>
  <si>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</si>
  <si>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</si>
  <si>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</si>
  <si>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</si>
  <si>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</si>
  <si>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</si>
  <si>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</si>
  <si>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</si>
  <si>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</si>
  <si>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</si>
  <si>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</si>
  <si>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</si>
  <si>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</si>
  <si>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</si>
  <si>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</si>
  <si>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</si>
  <si>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</si>
  <si>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</si>
  <si>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</si>
  <si>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</si>
  <si>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</si>
  <si>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</si>
  <si>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</si>
  <si>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</si>
  <si>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</si>
  <si>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</si>
  <si>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</si>
  <si>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</si>
  <si>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</si>
  <si>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</si>
  <si>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</si>
  <si>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</si>
  <si>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</si>
  <si>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</si>
  <si>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</si>
  <si>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</si>
  <si>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</si>
  <si>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</si>
  <si>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</si>
  <si>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</si>
  <si>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</si>
  <si>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</si>
  <si>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</si>
  <si>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</si>
  <si>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</si>
  <si>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</si>
  <si>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</si>
  <si>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</si>
  <si>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</si>
  <si>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</si>
  <si>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</si>
  <si>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</si>
  <si>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</si>
  <si>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</si>
  <si>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</si>
  <si>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</si>
  <si>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</si>
  <si>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</si>
  <si>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</si>
  <si>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</si>
  <si>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</si>
  <si>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</si>
  <si>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</si>
  <si>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</si>
  <si>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</si>
  <si>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</si>
  <si>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</si>
  <si>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</si>
  <si>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</si>
  <si>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</si>
  <si>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</si>
  <si>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</si>
  <si>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</si>
  <si>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</si>
  <si>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</si>
  <si>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</si>
  <si>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</si>
  <si>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</si>
  <si>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</si>
  <si>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</si>
  <si>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</si>
  <si>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</si>
  <si>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</si>
  <si>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</si>
  <si>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</si>
  <si>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</si>
  <si>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</si>
  <si>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</si>
  <si>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</si>
  <si>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</si>
  <si>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</si>
  <si>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</si>
  <si>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</si>
  <si>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</si>
  <si>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</si>
  <si>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</si>
  <si>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</si>
  <si>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</si>
  <si>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</si>
  <si>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</si>
  <si>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</si>
  <si>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</si>
  <si>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</si>
  <si>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</si>
  <si>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</si>
  <si>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</si>
  <si>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</si>
  <si>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</si>
  <si>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</si>
  <si>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</si>
  <si>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</si>
  <si>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</si>
  <si>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</si>
  <si>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</si>
  <si>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</si>
  <si>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</si>
  <si>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</si>
  <si>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</si>
  <si>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</si>
  <si>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</si>
  <si>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</si>
  <si>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</si>
  <si>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</si>
  <si>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</si>
  <si>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</si>
  <si>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</si>
  <si>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</si>
  <si>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</si>
  <si>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</si>
  <si>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</si>
  <si>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</si>
  <si>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</si>
  <si>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</si>
  <si>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</si>
  <si>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</si>
  <si>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</si>
  <si>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</si>
  <si>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</si>
  <si>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</si>
  <si>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</si>
  <si>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</si>
  <si>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</si>
  <si>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</si>
  <si>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</si>
  <si>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</si>
  <si>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</si>
  <si>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</si>
  <si>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</si>
  <si>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</si>
  <si>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</si>
  <si>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</si>
  <si>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</si>
  <si>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</si>
  <si>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</si>
  <si>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</si>
  <si>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</si>
  <si>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</si>
  <si>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</si>
  <si>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</si>
  <si>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</si>
  <si>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</si>
  <si>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</si>
  <si>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</si>
  <si>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</si>
  <si>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</si>
  <si>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</si>
  <si>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</si>
  <si>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</si>
  <si>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</si>
  <si>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</si>
  <si>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</si>
  <si>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</si>
  <si>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</si>
  <si>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</si>
  <si>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</si>
  <si>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</si>
  <si>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</si>
  <si>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</si>
  <si>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</si>
  <si>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</si>
  <si>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</si>
  <si>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</si>
  <si>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</si>
  <si>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</si>
  <si>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</si>
  <si>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</si>
  <si>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</si>
  <si>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</si>
  <si>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</si>
  <si>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</si>
  <si>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</si>
  <si>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</si>
  <si>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</si>
  <si>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</si>
  <si>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</si>
  <si>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</si>
  <si>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</si>
  <si>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</si>
  <si>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</si>
  <si>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</si>
  <si>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</si>
  <si>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</si>
  <si>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</si>
  <si>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</si>
  <si>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</si>
  <si>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</si>
  <si>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</si>
  <si>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</si>
  <si>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</si>
  <si>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</si>
  <si>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</si>
  <si>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</si>
  <si>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</si>
  <si>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</si>
  <si>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</si>
  <si>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</si>
  <si>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</si>
  <si>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</si>
  <si>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</si>
  <si>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</si>
  <si>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</si>
  <si>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</si>
  <si>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</si>
  <si>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</si>
  <si>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</si>
  <si>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</si>
  <si>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</si>
  <si>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</si>
  <si>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</si>
  <si>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</si>
  <si>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</si>
  <si>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</si>
  <si>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</si>
  <si>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</si>
  <si>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</si>
  <si>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</si>
  <si>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</si>
  <si>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</si>
  <si>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</si>
  <si>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</si>
  <si>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</si>
  <si>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</si>
  <si>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</si>
  <si>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</si>
  <si>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</si>
  <si>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</si>
  <si>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</si>
  <si>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</si>
  <si>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</si>
  <si>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</si>
  <si>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</si>
  <si>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</si>
  <si>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</si>
  <si>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</si>
  <si>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</si>
  <si>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</si>
  <si>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</si>
  <si>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</si>
  <si>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</si>
  <si>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</si>
  <si>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</si>
  <si>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</si>
  <si>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</si>
  <si>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</si>
  <si>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</si>
  <si>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</si>
  <si>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</si>
  <si>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</si>
  <si>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</si>
  <si>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</si>
  <si>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</si>
  <si>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</si>
  <si>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</si>
  <si>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</si>
  <si>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</si>
  <si>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</si>
  <si>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</si>
  <si>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</si>
  <si>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</si>
  <si>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</si>
  <si>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</si>
  <si>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</si>
  <si>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</si>
  <si>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</si>
  <si>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</si>
  <si>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</si>
  <si>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</si>
  <si>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</si>
  <si>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</si>
  <si>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</si>
  <si>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</si>
  <si>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</si>
  <si>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</si>
  <si>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</si>
  <si>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</si>
  <si>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</si>
  <si>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</si>
  <si>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</si>
  <si>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</si>
  <si>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</si>
  <si>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</si>
  <si>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</si>
  <si>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</si>
  <si>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</si>
  <si>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</si>
  <si>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</si>
  <si>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</si>
  <si>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</si>
  <si>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</si>
  <si>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</si>
  <si>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</si>
  <si>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</si>
  <si>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</si>
  <si>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</si>
  <si>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</si>
  <si>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</si>
  <si>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</si>
  <si>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</si>
  <si>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</si>
  <si>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</si>
  <si>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</si>
  <si>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</si>
  <si>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</si>
  <si>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</si>
  <si>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</si>
  <si>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</si>
  <si>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</si>
  <si>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</si>
  <si>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</si>
  <si>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</si>
  <si>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</si>
  <si>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</si>
  <si>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</si>
  <si>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</si>
  <si>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</si>
  <si>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</si>
  <si>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</si>
  <si>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</si>
  <si>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</si>
  <si>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</si>
  <si>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</si>
  <si>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</si>
  <si>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</si>
  <si>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</si>
  <si>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</si>
  <si>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</si>
  <si>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</si>
  <si>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</si>
  <si>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</si>
  <si>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</si>
  <si>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</si>
  <si>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</si>
  <si>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</si>
  <si>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</si>
  <si>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</si>
  <si>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</si>
  <si>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</si>
  <si>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</si>
  <si>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</si>
  <si>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</si>
  <si>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</si>
  <si>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</si>
  <si>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</si>
  <si>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</si>
  <si>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</si>
  <si>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</si>
  <si>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</si>
  <si>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</si>
  <si>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</si>
  <si>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</si>
  <si>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</si>
  <si>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</si>
  <si>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</si>
  <si>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</si>
  <si>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</si>
  <si>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</si>
  <si>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</si>
  <si>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</si>
  <si>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</si>
  <si>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</si>
  <si>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</si>
  <si>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</si>
  <si>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</si>
  <si>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</si>
  <si>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</si>
  <si>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</si>
  <si>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</si>
  <si>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</si>
  <si>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</si>
  <si>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</si>
  <si>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</si>
  <si>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</si>
  <si>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</si>
  <si>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</si>
  <si>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</si>
  <si>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</si>
  <si>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</si>
  <si>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</si>
  <si>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</si>
  <si>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</si>
  <si>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</si>
  <si>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</si>
  <si>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</si>
  <si>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</si>
  <si>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</si>
  <si>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</si>
  <si>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</si>
  <si>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</si>
  <si>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</si>
  <si>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</si>
  <si>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</si>
  <si>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</si>
  <si>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</si>
  <si>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</si>
  <si>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</si>
  <si>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</si>
  <si>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</si>
  <si>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</si>
  <si>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</si>
  <si>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</si>
  <si>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</si>
  <si>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</si>
  <si>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</si>
  <si>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</si>
  <si>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</si>
  <si>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</si>
  <si>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</si>
  <si>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</si>
  <si>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</si>
  <si>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</si>
  <si>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</si>
  <si>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</si>
  <si>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</si>
  <si>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</si>
  <si>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</si>
  <si>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</si>
  <si>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</si>
  <si>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</si>
  <si>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</si>
  <si>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</si>
  <si>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</si>
  <si>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</si>
  <si>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</si>
  <si>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</si>
  <si>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</si>
  <si>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</si>
  <si>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</si>
  <si>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</si>
  <si>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</si>
  <si>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</si>
  <si>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</si>
  <si>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</si>
  <si>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</si>
  <si>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</si>
  <si>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</si>
  <si>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</si>
  <si>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</si>
  <si>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</si>
  <si>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</si>
  <si>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</si>
  <si>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</si>
  <si>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</si>
  <si>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</si>
  <si>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</si>
  <si>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</si>
  <si>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</si>
  <si>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</si>
  <si>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</si>
  <si>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</si>
  <si>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</si>
  <si>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</si>
  <si>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</si>
  <si>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</si>
  <si>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</si>
  <si>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</si>
  <si>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</si>
  <si>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</si>
  <si>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</si>
  <si>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</si>
  <si>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</si>
  <si>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</si>
  <si>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</si>
  <si>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</si>
  <si>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</si>
  <si>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</si>
  <si>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</si>
  <si>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</si>
  <si>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</si>
  <si>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</si>
  <si>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</si>
  <si>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</si>
  <si>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</si>
  <si>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</si>
  <si>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</si>
  <si>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</si>
  <si>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</si>
  <si>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</si>
  <si>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</si>
  <si>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</si>
  <si>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</si>
  <si>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</si>
  <si>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</si>
  <si>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</si>
  <si>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</si>
  <si>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</si>
  <si>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</si>
  <si>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</si>
  <si>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</si>
  <si>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</si>
  <si>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</si>
  <si>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</si>
  <si>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</si>
  <si>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</si>
  <si>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</si>
  <si>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</si>
  <si>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</si>
  <si>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</si>
  <si>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</si>
  <si>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</si>
  <si>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</si>
  <si>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</si>
  <si>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</si>
  <si>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</si>
  <si>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</si>
  <si>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</si>
  <si>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</si>
  <si>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</si>
  <si>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</si>
  <si>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</si>
  <si>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</si>
  <si>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</si>
  <si>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</si>
  <si>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</si>
  <si>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</si>
  <si>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</si>
  <si>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</si>
  <si>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</si>
  <si>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</si>
  <si>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</si>
  <si>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</si>
  <si>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</si>
  <si>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</si>
  <si>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</si>
  <si>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</si>
  <si>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</si>
  <si>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</si>
  <si>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</si>
  <si>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</si>
  <si>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</si>
  <si>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</si>
  <si>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</si>
  <si>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</si>
  <si>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</si>
  <si>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</si>
  <si>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</si>
  <si>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</si>
  <si>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</si>
  <si>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</si>
  <si>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</si>
  <si>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</si>
  <si>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</si>
  <si>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</si>
  <si>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</si>
  <si>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</si>
  <si>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</si>
  <si>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</si>
  <si>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</si>
  <si>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</si>
  <si>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</si>
  <si>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</si>
  <si>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</si>
  <si>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</si>
  <si>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</si>
  <si>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</si>
  <si>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</si>
  <si>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</si>
  <si>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</si>
  <si>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</si>
  <si>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</si>
  <si>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</si>
  <si>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</si>
  <si>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</si>
  <si>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</si>
  <si>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</si>
  <si>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</si>
  <si>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</si>
  <si>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</si>
  <si>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</si>
  <si>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</si>
  <si>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</si>
  <si>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</si>
  <si>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</si>
  <si>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</si>
  <si>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</si>
  <si>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</si>
  <si>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</si>
  <si>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</si>
  <si>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</si>
  <si>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</si>
  <si>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</si>
  <si>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</si>
  <si>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</si>
  <si>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</si>
  <si>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</si>
  <si>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</si>
  <si>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</si>
  <si>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</si>
  <si>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</si>
  <si>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</si>
  <si>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</si>
  <si>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</si>
  <si>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</si>
  <si>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</si>
  <si>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</si>
  <si>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</si>
  <si>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</si>
  <si>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</si>
  <si>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</si>
  <si>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</si>
  <si>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</si>
  <si>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</si>
  <si>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</si>
  <si>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</si>
  <si>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</si>
  <si>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</si>
  <si>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</si>
  <si>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</si>
  <si>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</si>
  <si>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</si>
  <si>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</si>
  <si>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</si>
  <si>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</si>
  <si>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</si>
  <si>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</si>
  <si>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</si>
  <si>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</si>
  <si>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</si>
  <si>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</si>
  <si>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</si>
  <si>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</si>
  <si>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</si>
  <si>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</si>
  <si>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</si>
  <si>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</si>
  <si>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</si>
  <si>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</si>
  <si>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</si>
  <si>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</si>
  <si>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</si>
  <si>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</si>
  <si>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</si>
  <si>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</si>
  <si>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</si>
  <si>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</si>
  <si>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</si>
  <si>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</si>
  <si>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</si>
  <si>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</si>
  <si>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</si>
  <si>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</si>
  <si>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</si>
  <si>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</si>
  <si>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</si>
  <si>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</si>
  <si>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</si>
  <si>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</si>
  <si>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</si>
  <si>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</si>
  <si>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</si>
  <si>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</si>
  <si>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</si>
  <si>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</si>
  <si>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</si>
  <si>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</si>
  <si>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</si>
  <si>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</si>
  <si>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</si>
  <si>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</si>
  <si>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</si>
  <si>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</si>
  <si>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</si>
  <si>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</si>
  <si>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</si>
  <si>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</si>
  <si>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</si>
  <si>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</si>
  <si>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</si>
  <si>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</si>
  <si>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</si>
  <si>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</si>
  <si>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</si>
  <si>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</si>
  <si>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</si>
  <si>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</si>
  <si>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</si>
  <si>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</si>
  <si>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</si>
  <si>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</si>
  <si>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</si>
  <si>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</si>
  <si>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</si>
  <si>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</si>
  <si>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</si>
  <si>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</si>
  <si>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</si>
  <si>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</si>
  <si>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</si>
  <si>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</si>
  <si>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</si>
  <si>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</si>
  <si>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</si>
  <si>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</si>
  <si>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</si>
  <si>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</si>
  <si>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</si>
  <si>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</si>
  <si>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</si>
  <si>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</si>
  <si>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</si>
  <si>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</si>
  <si>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</si>
  <si>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</si>
  <si>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</si>
  <si>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</si>
  <si>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</si>
  <si>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</si>
  <si>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</si>
  <si>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</si>
  <si>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</si>
  <si>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</si>
  <si>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</si>
  <si>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</si>
  <si>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</si>
  <si>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</si>
  <si>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</si>
  <si>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</si>
  <si>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</si>
  <si>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</si>
  <si>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</si>
  <si>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</si>
  <si>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</si>
  <si>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</si>
  <si>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</si>
  <si>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</si>
  <si>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</si>
  <si>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</si>
  <si>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</si>
  <si>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</si>
  <si>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</si>
  <si>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</si>
  <si>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</si>
  <si>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</si>
  <si>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</si>
  <si>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</si>
  <si>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</si>
  <si>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</si>
  <si>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</si>
  <si>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</si>
  <si>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</si>
  <si>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</si>
  <si>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</si>
  <si>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</si>
  <si>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</si>
  <si>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</si>
  <si>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</si>
  <si>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</si>
  <si>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</si>
  <si>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</si>
  <si>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</si>
  <si>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</si>
  <si>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</si>
  <si>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</si>
  <si>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</si>
  <si>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</si>
  <si>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</si>
  <si>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</si>
  <si>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</si>
  <si>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</si>
  <si>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</si>
  <si>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</si>
  <si>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</si>
  <si>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</si>
  <si>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</si>
  <si>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</si>
  <si>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</si>
  <si>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</si>
  <si>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</si>
  <si>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</si>
  <si>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</si>
  <si>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</si>
  <si>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</si>
  <si>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</si>
  <si>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</si>
  <si>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</si>
  <si>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</si>
  <si>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</si>
  <si>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</si>
  <si>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</si>
  <si>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</si>
  <si>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</si>
  <si>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</si>
  <si>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</si>
  <si>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</si>
  <si>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</si>
  <si>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</si>
  <si>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</si>
  <si>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</si>
  <si>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</si>
  <si>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</si>
  <si>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</si>
  <si>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</si>
  <si>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</si>
  <si>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</si>
  <si>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</si>
  <si>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</si>
  <si>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</si>
  <si>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</si>
  <si>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</si>
  <si>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</si>
  <si>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</si>
  <si>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</si>
  <si>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</si>
  <si>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</si>
  <si>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</si>
  <si>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</si>
  <si>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</si>
  <si>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</si>
  <si>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</si>
  <si>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</si>
  <si>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</si>
  <si>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</si>
  <si>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</si>
  <si>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</si>
  <si>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</si>
  <si>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</si>
  <si>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</si>
  <si>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</si>
  <si>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</si>
  <si>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</si>
  <si>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</si>
  <si>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</si>
  <si>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</si>
  <si>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</si>
  <si>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</si>
  <si>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</si>
  <si>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</si>
  <si>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</si>
  <si>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</si>
  <si>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</si>
  <si>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</si>
  <si>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</si>
  <si>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</si>
  <si>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</si>
  <si>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</si>
  <si>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</si>
  <si>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</si>
  <si>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</si>
  <si>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</si>
  <si>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</si>
  <si>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</si>
  <si>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</si>
  <si>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</si>
  <si>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</si>
  <si>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</si>
  <si>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</si>
  <si>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</si>
  <si>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</si>
  <si>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</si>
  <si>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</si>
  <si>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</si>
  <si>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</si>
  <si>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</si>
  <si>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</si>
  <si>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</si>
  <si>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</si>
  <si>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</si>
  <si>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</si>
  <si>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</si>
  <si>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</si>
  <si>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</si>
  <si>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</si>
  <si>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</si>
  <si>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</si>
  <si>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</si>
  <si>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</si>
  <si>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</si>
  <si>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</si>
  <si>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</si>
  <si>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</si>
  <si>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</si>
  <si>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</si>
  <si>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</si>
  <si>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</si>
  <si>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</si>
  <si>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</si>
  <si>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</si>
  <si>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</si>
  <si>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</si>
  <si>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</si>
  <si>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</si>
  <si>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</si>
  <si>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</si>
  <si>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</si>
  <si>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</si>
  <si>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</si>
  <si>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</si>
  <si>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</si>
  <si>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</si>
  <si>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</si>
  <si>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</si>
  <si>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</si>
  <si>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</si>
  <si>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</si>
  <si>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</si>
  <si>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</si>
  <si>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</si>
  <si>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</si>
  <si>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</si>
  <si>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</si>
  <si>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</si>
  <si>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</si>
  <si>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</si>
  <si>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</si>
  <si>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</si>
  <si>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</si>
  <si>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</si>
  <si>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</si>
  <si>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</si>
  <si>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</si>
  <si>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</si>
  <si>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</si>
  <si>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</si>
  <si>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</si>
  <si>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</si>
  <si>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</si>
  <si>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</si>
  <si>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</si>
  <si>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</si>
  <si>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</si>
  <si>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</si>
  <si>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</si>
  <si>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</si>
  <si>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</si>
  <si>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</si>
  <si>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</si>
  <si>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</si>
  <si>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</si>
  <si>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</si>
  <si>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</si>
  <si>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</si>
  <si>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</si>
  <si>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</si>
  <si>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</si>
  <si>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</si>
  <si>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</si>
  <si>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</si>
  <si>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</si>
  <si>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</si>
  <si>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</si>
  <si>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</si>
  <si>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</si>
  <si>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</si>
  <si>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</si>
  <si>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</si>
  <si>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</si>
  <si>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</si>
  <si>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</si>
  <si>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</si>
  <si>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</si>
  <si>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</si>
  <si>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</si>
  <si>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</si>
  <si>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</si>
  <si>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</si>
  <si>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</si>
  <si>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</si>
  <si>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</si>
  <si>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</si>
  <si>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</si>
  <si>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</si>
  <si>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</si>
  <si>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</si>
  <si>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</si>
  <si>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</si>
  <si>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</si>
  <si>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</si>
  <si>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</si>
  <si>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</si>
  <si>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</si>
  <si>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</si>
  <si>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</si>
  <si>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</si>
  <si>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</si>
  <si>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</si>
  <si>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</si>
  <si>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</si>
  <si>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</si>
  <si>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</si>
  <si>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</si>
  <si>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</si>
  <si>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</si>
  <si>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</si>
  <si>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</si>
  <si>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</si>
  <si>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</si>
  <si>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</si>
  <si>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</si>
  <si>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</si>
  <si>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</si>
  <si>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</si>
  <si>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</si>
  <si>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</si>
  <si>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</si>
  <si>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</si>
  <si>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</si>
  <si>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</si>
  <si>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</si>
  <si>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</si>
  <si>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</si>
  <si>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</si>
  <si>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</si>
  <si>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</si>
  <si>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</si>
  <si>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</si>
  <si>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</si>
  <si>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</si>
  <si>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</si>
  <si>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</si>
  <si>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</si>
  <si>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</si>
  <si>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</si>
  <si>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</si>
  <si>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</si>
  <si>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</si>
  <si>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</si>
  <si>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</si>
  <si>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</si>
  <si>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</si>
  <si>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</si>
  <si>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</si>
  <si>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</si>
  <si>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</si>
  <si>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</si>
  <si>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</si>
  <si>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</si>
  <si>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</si>
  <si>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</si>
  <si>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</si>
  <si>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</si>
  <si>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</si>
  <si>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</si>
  <si>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</si>
  <si>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</si>
  <si>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</si>
  <si>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</si>
  <si>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</si>
  <si>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</si>
  <si>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</si>
  <si>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</si>
  <si>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</si>
  <si>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</si>
  <si>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</si>
  <si>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</si>
  <si>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</si>
  <si>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</si>
  <si>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</si>
  <si>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</si>
  <si>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</si>
  <si>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</si>
  <si>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</si>
  <si>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</si>
  <si>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</si>
  <si>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</si>
  <si>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</si>
  <si>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</si>
  <si>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</si>
  <si>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</si>
  <si>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</si>
  <si>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</si>
  <si>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</si>
  <si>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</si>
  <si>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</si>
  <si>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</si>
  <si>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</si>
  <si>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</si>
  <si>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</si>
  <si>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</si>
  <si>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</si>
  <si>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</si>
  <si>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</si>
  <si>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</si>
  <si>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</si>
  <si>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</si>
  <si>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</si>
  <si>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</si>
  <si>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</si>
  <si>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</si>
  <si>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</si>
  <si>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</si>
  <si>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</si>
  <si>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</si>
  <si>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</si>
  <si>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</si>
  <si>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</si>
  <si>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</si>
  <si>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</si>
  <si>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</si>
  <si>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</si>
  <si>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</si>
  <si>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</si>
  <si>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</si>
  <si>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</si>
  <si>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</si>
  <si>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</si>
  <si>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</si>
  <si>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</si>
  <si>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</si>
  <si>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</si>
  <si>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</si>
  <si>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</si>
  <si>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</si>
  <si>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</si>
  <si>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</si>
  <si>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</si>
  <si>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</si>
  <si>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</si>
  <si>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</si>
  <si>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</si>
  <si>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</si>
  <si>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</si>
  <si>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</si>
  <si>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</si>
  <si>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</si>
  <si>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</si>
  <si>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</si>
  <si>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</si>
  <si>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</si>
  <si>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</si>
  <si>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</si>
  <si>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</si>
  <si>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</si>
  <si>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</si>
  <si>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</si>
  <si>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</si>
  <si>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</si>
  <si>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</si>
  <si>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</si>
  <si>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</si>
  <si>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</si>
  <si>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</si>
  <si>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</si>
  <si>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</si>
  <si>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</si>
  <si>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</si>
  <si>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</si>
  <si>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</si>
  <si>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</si>
  <si>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</si>
  <si>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</si>
  <si>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</si>
  <si>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</si>
  <si>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</si>
  <si>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</si>
  <si>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</si>
  <si>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</si>
  <si>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</si>
  <si>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</si>
  <si>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</si>
  <si>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</si>
  <si>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</si>
  <si>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</si>
  <si>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</si>
  <si>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</si>
  <si>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</si>
  <si>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</si>
  <si>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</si>
  <si>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</si>
  <si>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</si>
  <si>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</si>
  <si>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</si>
  <si>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</si>
  <si>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</si>
  <si>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</si>
  <si>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</si>
  <si>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</si>
  <si>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</si>
  <si>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</si>
  <si>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</si>
  <si>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</si>
  <si>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</si>
  <si>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</si>
  <si>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</si>
  <si>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</si>
  <si>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</si>
  <si>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</si>
  <si>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</si>
  <si>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</si>
  <si>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</si>
  <si>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</si>
  <si>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</si>
  <si>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</si>
  <si>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</si>
  <si>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</si>
  <si>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</si>
  <si>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</si>
  <si>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</si>
  <si>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</si>
  <si>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</si>
  <si>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</si>
  <si>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</si>
  <si>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</si>
  <si>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</si>
  <si>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</si>
  <si>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</si>
  <si>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</si>
  <si>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</si>
  <si>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</si>
  <si>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</si>
  <si>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</si>
  <si>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</si>
  <si>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</si>
  <si>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</si>
  <si>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</si>
  <si>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</si>
  <si>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</si>
  <si>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</si>
  <si>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</si>
  <si>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</si>
  <si>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</si>
  <si>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</si>
  <si>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</si>
  <si>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</si>
  <si>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</si>
  <si>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</si>
  <si>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</si>
  <si>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</si>
  <si>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</si>
  <si>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</si>
  <si>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</si>
  <si>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</si>
  <si>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</si>
  <si>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</si>
  <si>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</si>
  <si>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</si>
  <si>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</si>
  <si>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</si>
  <si>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</si>
  <si>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</si>
  <si>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</si>
  <si>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</si>
  <si>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</si>
  <si>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</si>
  <si>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</si>
  <si>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</si>
  <si>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</si>
  <si>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</si>
  <si>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</si>
  <si>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</si>
  <si>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</si>
  <si>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</si>
  <si>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</si>
  <si>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</si>
  <si>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</si>
  <si>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</si>
  <si>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</si>
  <si>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</si>
  <si>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</si>
  <si>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</si>
  <si>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</si>
  <si>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</si>
  <si>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</si>
  <si>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</si>
  <si>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</si>
  <si>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</si>
  <si>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</si>
  <si>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</si>
  <si>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</si>
  <si>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</si>
  <si>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</si>
  <si>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</si>
  <si>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</si>
  <si>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</si>
  <si>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</si>
  <si>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</si>
  <si>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</si>
  <si>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</si>
  <si>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</si>
  <si>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</si>
  <si>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</si>
  <si>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</si>
  <si>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</si>
  <si>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</si>
  <si>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</si>
  <si>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</si>
  <si>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</si>
  <si>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</si>
  <si>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</si>
  <si>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</si>
  <si>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</si>
  <si>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</si>
  <si>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</si>
  <si>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</si>
  <si>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</si>
  <si>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</si>
  <si>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</si>
  <si>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</si>
  <si>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</si>
  <si>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</si>
  <si>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</si>
  <si>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</si>
  <si>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</si>
  <si>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</si>
  <si>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</si>
  <si>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</si>
  <si>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</si>
  <si>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</si>
  <si>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</si>
  <si>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</si>
  <si>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</si>
  <si>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</si>
  <si>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</si>
  <si>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</si>
  <si>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</si>
  <si>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</si>
  <si>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</si>
  <si>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</si>
  <si>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</si>
  <si>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</si>
  <si>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</si>
  <si>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</si>
  <si>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</si>
  <si>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</si>
  <si>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</si>
  <si>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</si>
  <si>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</si>
  <si>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</si>
  <si>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</si>
  <si>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</si>
  <si>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</si>
  <si>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</si>
  <si>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</si>
  <si>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</si>
  <si>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</si>
  <si>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</si>
  <si>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</si>
  <si>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</si>
  <si>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</si>
  <si>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</si>
  <si>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</si>
  <si>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</si>
  <si>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</si>
  <si>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</si>
  <si>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</si>
  <si>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</si>
  <si>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</si>
  <si>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</si>
  <si>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</si>
  <si>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</si>
  <si>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</si>
  <si>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</si>
  <si>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</si>
  <si>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</si>
  <si>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</si>
  <si>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</si>
  <si>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</si>
  <si>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</si>
  <si>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</si>
  <si>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</si>
  <si>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</si>
  <si>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</si>
  <si>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</si>
  <si>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</si>
  <si>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</si>
  <si>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</si>
  <si>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</si>
  <si>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</si>
  <si>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</si>
  <si>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</si>
  <si>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</si>
  <si>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</si>
  <si>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</si>
  <si>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</si>
  <si>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</si>
  <si>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</si>
  <si>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</si>
  <si>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</si>
  <si>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</si>
  <si>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</si>
  <si>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</si>
  <si>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</si>
  <si>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</si>
  <si>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</si>
  <si>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</si>
  <si>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</si>
  <si>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</si>
  <si>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</si>
  <si>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</si>
  <si>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</si>
  <si>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</si>
  <si>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</si>
  <si>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</si>
  <si>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</si>
  <si>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</si>
  <si>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</si>
  <si>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</si>
  <si>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</si>
  <si>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</si>
  <si>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</si>
  <si>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</si>
  <si>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</si>
  <si>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</si>
  <si>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</si>
  <si>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</si>
  <si>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</si>
  <si>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</si>
  <si>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</si>
  <si>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</si>
  <si>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</si>
  <si>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</si>
  <si>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</si>
  <si>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</si>
  <si>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</si>
  <si>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</si>
  <si>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</si>
  <si>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</si>
  <si>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</si>
  <si>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</si>
  <si>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</si>
  <si>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</si>
  <si>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</si>
  <si>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</si>
  <si>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</si>
  <si>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</si>
  <si>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</si>
  <si>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</si>
  <si>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</si>
  <si>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</si>
  <si>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</si>
  <si>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</si>
  <si>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</si>
  <si>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</si>
  <si>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</si>
  <si>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</si>
  <si>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</si>
  <si>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</si>
  <si>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</si>
  <si>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</si>
  <si>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</si>
  <si>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</si>
  <si>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</si>
  <si>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</si>
  <si>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</si>
  <si>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</si>
  <si>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</si>
  <si>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</si>
  <si>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</si>
  <si>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</si>
  <si>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</si>
  <si>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</si>
  <si>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</si>
  <si>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</si>
  <si>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</si>
  <si>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</si>
  <si>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</si>
  <si>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</si>
  <si>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</si>
  <si>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</si>
  <si>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</si>
  <si>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</si>
  <si>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</si>
  <si>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</si>
  <si>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</si>
  <si>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</si>
  <si>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</si>
  <si>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</si>
  <si>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</si>
  <si>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</si>
  <si>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</si>
  <si>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</si>
  <si>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</si>
  <si>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</si>
  <si>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</si>
  <si>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</si>
  <si>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</si>
  <si>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</si>
  <si>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</si>
  <si>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</si>
  <si>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</si>
  <si>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</si>
  <si>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</si>
  <si>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</si>
  <si>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</si>
  <si>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</si>
  <si>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</si>
  <si>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</si>
  <si>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</si>
  <si>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</si>
  <si>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</si>
  <si>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</si>
  <si>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</si>
  <si>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</si>
  <si>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</si>
  <si>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</si>
  <si>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</si>
  <si>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</si>
  <si>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</si>
  <si>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</si>
  <si>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</si>
  <si>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</si>
  <si>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</si>
  <si>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</si>
  <si>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</si>
  <si>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</si>
  <si>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</si>
  <si>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</si>
  <si>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</si>
  <si>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</si>
  <si>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</si>
  <si>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</si>
  <si>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</si>
  <si>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</si>
  <si>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</si>
  <si>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</si>
  <si>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</si>
  <si>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</si>
  <si>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</si>
  <si>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</si>
  <si>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</si>
  <si>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</si>
  <si>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</si>
  <si>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</si>
  <si>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</si>
  <si>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</si>
  <si>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</si>
  <si>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</si>
  <si>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</si>
  <si>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</si>
  <si>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</si>
  <si>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</si>
  <si>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</si>
  <si>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</si>
  <si>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</si>
  <si>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</si>
  <si>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</si>
  <si>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</si>
  <si>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</si>
  <si>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</si>
  <si>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</si>
  <si>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</si>
  <si>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</si>
  <si>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</si>
  <si>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</si>
  <si>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</si>
  <si>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</si>
  <si>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</si>
  <si>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</si>
  <si>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</si>
  <si>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</si>
  <si>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</si>
  <si>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</si>
  <si>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</si>
  <si>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</si>
  <si>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</si>
  <si>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</si>
  <si>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</si>
  <si>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</si>
  <si>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</si>
  <si>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</si>
  <si>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</si>
  <si>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</si>
  <si>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</si>
  <si>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</si>
  <si>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</si>
  <si>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</si>
  <si>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</si>
  <si>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</si>
  <si>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</si>
  <si>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</si>
  <si>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</si>
  <si>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</si>
  <si>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</si>
  <si>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</si>
  <si>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</si>
  <si>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</si>
  <si>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</si>
  <si>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</si>
  <si>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</si>
  <si>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</si>
  <si>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</si>
  <si>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</si>
  <si>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</si>
  <si>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</si>
  <si>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</si>
  <si>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</si>
  <si>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</si>
  <si>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</si>
  <si>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</si>
  <si>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</si>
  <si>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</si>
  <si>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</si>
  <si>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</si>
  <si>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</si>
  <si>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</si>
  <si>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</si>
  <si>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</si>
  <si>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</si>
  <si>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</si>
  <si>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</si>
  <si>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</si>
  <si>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</si>
  <si>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</si>
  <si>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</si>
  <si>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</si>
  <si>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</si>
  <si>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</si>
  <si>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</si>
  <si>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</si>
  <si>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</si>
  <si>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</si>
  <si>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</si>
  <si>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</si>
  <si>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</si>
  <si>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</si>
  <si>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</si>
  <si>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</si>
  <si>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</si>
  <si>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</si>
  <si>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</si>
  <si>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</si>
  <si>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</si>
  <si>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</si>
  <si>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</si>
  <si>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</si>
  <si>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</si>
  <si>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</si>
  <si>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</si>
  <si>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</si>
  <si>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</si>
  <si>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</si>
  <si>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</si>
  <si>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</si>
  <si>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</si>
  <si>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</si>
  <si>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</si>
  <si>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</si>
  <si>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</si>
  <si>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</si>
  <si>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</si>
  <si>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</si>
  <si>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</si>
  <si>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</si>
  <si>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</si>
  <si>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</si>
  <si>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</si>
  <si>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</si>
  <si>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</si>
  <si>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</si>
  <si>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</si>
  <si>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</si>
  <si>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</si>
  <si>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</si>
  <si>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</si>
  <si>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</si>
  <si>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</si>
  <si>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</si>
  <si>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</si>
  <si>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</si>
  <si>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</si>
  <si>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</si>
  <si>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</si>
  <si>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</si>
  <si>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</si>
  <si>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</si>
  <si>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</si>
  <si>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</si>
  <si>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</si>
  <si>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</si>
  <si>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</si>
  <si>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</si>
  <si>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</si>
  <si>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</si>
  <si>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</si>
  <si>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</si>
  <si>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</si>
  <si>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</si>
  <si>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</si>
  <si>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</si>
  <si>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</si>
  <si>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</si>
  <si>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</si>
  <si>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</si>
  <si>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</si>
  <si>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</si>
  <si>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</si>
  <si>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</si>
  <si>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</si>
  <si>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</si>
  <si>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</si>
  <si>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</si>
  <si>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</si>
  <si>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</si>
  <si>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</si>
  <si>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</si>
  <si>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</si>
  <si>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</si>
  <si>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</si>
  <si>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</si>
  <si>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</si>
  <si>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</si>
  <si>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</si>
  <si>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</si>
  <si>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</si>
  <si>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</si>
  <si>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</si>
  <si>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</si>
  <si>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</si>
  <si>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</si>
  <si>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</si>
  <si>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</si>
  <si>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</si>
  <si>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</si>
  <si>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</si>
  <si>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</si>
  <si>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</si>
  <si>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</si>
  <si>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</si>
  <si>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</si>
  <si>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</si>
  <si>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</si>
  <si>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</si>
  <si>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</si>
  <si>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</si>
  <si>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</si>
  <si>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</si>
  <si>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</si>
  <si>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</si>
  <si>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</si>
  <si>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</si>
  <si>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</si>
  <si>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</si>
  <si>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</si>
  <si>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</si>
  <si>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</si>
  <si>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</si>
  <si>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</si>
  <si>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</si>
  <si>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</si>
  <si>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</si>
  <si>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</si>
  <si>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</si>
  <si>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</si>
  <si>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</si>
  <si>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</si>
  <si>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</si>
  <si>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</si>
  <si>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</si>
  <si>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</si>
  <si>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</si>
  <si>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</si>
  <si>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</si>
  <si>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</si>
  <si>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</si>
  <si>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</si>
  <si>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</si>
  <si>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</si>
  <si>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</si>
  <si>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</si>
  <si>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</si>
  <si>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</si>
  <si>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</si>
  <si>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</si>
  <si>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</si>
  <si>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</si>
  <si>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</si>
  <si>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</si>
  <si>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</si>
  <si>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</si>
  <si>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</si>
  <si>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</si>
  <si>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</si>
  <si>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</si>
  <si>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</si>
  <si>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</si>
  <si>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</si>
  <si>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</si>
  <si>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</si>
  <si>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</si>
  <si>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</si>
  <si>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</si>
  <si>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</si>
  <si>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</si>
  <si>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</si>
  <si>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</si>
  <si>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</si>
  <si>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</si>
  <si>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</si>
  <si>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</si>
  <si>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</si>
  <si>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</si>
  <si>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</si>
  <si>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</si>
  <si>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</si>
  <si>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</si>
  <si>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</si>
  <si>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</si>
  <si>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</si>
  <si>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</si>
  <si>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</si>
  <si>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</si>
  <si>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</si>
  <si>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</si>
  <si>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</si>
  <si>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</si>
  <si>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</si>
  <si>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</si>
  <si>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</si>
  <si>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</si>
  <si>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</si>
  <si>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</si>
  <si>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</si>
  <si>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</si>
  <si>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</si>
  <si>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</si>
  <si>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</si>
  <si>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</si>
  <si>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</si>
  <si>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</si>
  <si>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</si>
  <si>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</si>
  <si>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</si>
  <si>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</si>
  <si>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</si>
  <si>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</si>
  <si>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</si>
  <si>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</si>
  <si>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</si>
  <si>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</si>
  <si>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</si>
  <si>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</si>
  <si>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</si>
  <si>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</si>
  <si>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</si>
  <si>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</si>
  <si>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</si>
  <si>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</si>
  <si>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</si>
  <si>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</si>
  <si>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</si>
  <si>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</si>
  <si>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</si>
  <si>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</si>
  <si>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</si>
  <si>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</si>
  <si>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</si>
  <si>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</si>
  <si>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</si>
  <si>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</si>
  <si>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</si>
  <si>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</si>
  <si>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</si>
  <si>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</si>
  <si>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</si>
  <si>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</si>
  <si>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</si>
  <si>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</si>
  <si>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</si>
  <si>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</si>
  <si>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</si>
  <si>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</si>
  <si>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</si>
  <si>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</si>
  <si>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</si>
  <si>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</si>
  <si>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</si>
  <si>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</si>
  <si>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</si>
  <si>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</si>
  <si>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</si>
  <si>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</si>
  <si>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</si>
  <si>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</si>
  <si>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</si>
  <si>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</si>
  <si>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</si>
  <si>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</si>
  <si>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</si>
  <si>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</si>
  <si>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</si>
  <si>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</si>
  <si>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</si>
  <si>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</si>
  <si>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</si>
  <si>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</si>
  <si>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</si>
  <si>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</si>
  <si>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</si>
  <si>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</si>
  <si>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</si>
  <si>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</si>
  <si>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</si>
  <si>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</si>
  <si>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</si>
  <si>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</si>
  <si>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</si>
  <si>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</si>
  <si>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</si>
  <si>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</si>
  <si>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</si>
  <si>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</si>
  <si>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</si>
  <si>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</si>
  <si>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</si>
  <si>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</si>
  <si>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</si>
  <si>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</si>
  <si>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</si>
  <si>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</si>
  <si>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</si>
  <si>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</si>
  <si>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</si>
  <si>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</si>
  <si>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</si>
  <si>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</si>
  <si>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</si>
  <si>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</si>
  <si>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</si>
  <si>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</si>
  <si>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</si>
  <si>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</si>
  <si>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</si>
  <si>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</si>
  <si>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</si>
  <si>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</si>
  <si>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</si>
  <si>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</si>
  <si>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</si>
  <si>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</si>
  <si>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</si>
  <si>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</si>
  <si>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</si>
  <si>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</si>
  <si>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</si>
  <si>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</si>
  <si>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</si>
  <si>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</si>
  <si>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</si>
  <si>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</si>
  <si>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</si>
  <si>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</si>
  <si>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</si>
  <si>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</si>
  <si>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</si>
  <si>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</si>
  <si>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</si>
  <si>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</si>
  <si>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</si>
  <si>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</si>
  <si>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</si>
  <si>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</si>
  <si>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</si>
  <si>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</si>
  <si>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</si>
  <si>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</si>
  <si>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</si>
  <si>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</si>
  <si>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</si>
  <si>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</si>
  <si>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</si>
  <si>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</si>
  <si>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</si>
  <si>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</si>
  <si>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</si>
  <si>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</si>
  <si>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</si>
  <si>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</si>
  <si>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</si>
  <si>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</si>
  <si>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</si>
  <si>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</si>
  <si>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</si>
  <si>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</si>
  <si>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</si>
  <si>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</si>
  <si>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</si>
  <si>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</si>
  <si>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</si>
  <si>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</si>
  <si>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</si>
  <si>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</si>
  <si>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</si>
  <si>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</si>
  <si>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</si>
  <si>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</si>
  <si>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</si>
  <si>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</si>
  <si>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</si>
  <si>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</si>
  <si>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</si>
  <si>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</si>
  <si>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</si>
  <si>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</si>
  <si>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</si>
  <si>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</si>
  <si>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</si>
  <si>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</si>
  <si>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</si>
  <si>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</si>
  <si>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</si>
  <si>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</si>
  <si>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</si>
  <si>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</si>
  <si>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</si>
  <si>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</si>
  <si>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</si>
  <si>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</si>
  <si>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</si>
  <si>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</si>
  <si>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</si>
  <si>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</si>
  <si>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</si>
  <si>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</si>
  <si>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</si>
  <si>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</si>
  <si>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</si>
  <si>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</si>
  <si>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</si>
  <si>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</si>
  <si>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</si>
  <si>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</si>
  <si>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</si>
  <si>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</si>
  <si>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</si>
  <si>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</si>
  <si>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</si>
  <si>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</si>
  <si>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</si>
  <si>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</si>
  <si>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</si>
  <si>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</si>
  <si>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</si>
  <si>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</si>
  <si>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</si>
  <si>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</si>
  <si>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</si>
  <si>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</si>
  <si>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</si>
  <si>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</si>
  <si>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</si>
  <si>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</si>
  <si>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</si>
  <si>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</si>
  <si>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</si>
  <si>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</si>
  <si>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</si>
  <si>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</si>
  <si>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</si>
  <si>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</si>
  <si>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</si>
  <si>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</si>
  <si>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</si>
  <si>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</si>
  <si>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</si>
  <si>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</si>
  <si>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</si>
  <si>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</si>
  <si>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</si>
  <si>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</si>
  <si>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</si>
  <si>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</si>
  <si>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</si>
  <si>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</si>
  <si>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</si>
  <si>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</si>
  <si>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</si>
  <si>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</si>
  <si>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</si>
  <si>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</si>
  <si>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</si>
  <si>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</si>
  <si>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</si>
  <si>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</si>
  <si>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</si>
  <si>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</si>
  <si>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</si>
  <si>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</si>
  <si>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</si>
  <si>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</si>
  <si>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</si>
  <si>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</si>
  <si>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</si>
  <si>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</si>
  <si>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</si>
  <si>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</si>
  <si>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</si>
  <si>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</si>
  <si>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</si>
  <si>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</si>
  <si>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</si>
  <si>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</si>
  <si>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</si>
  <si>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</si>
  <si>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</si>
  <si>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</si>
  <si>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</si>
  <si>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</si>
  <si>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</si>
  <si>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</si>
  <si>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</si>
  <si>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</si>
  <si>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</si>
  <si>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</si>
  <si>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</si>
  <si>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</si>
  <si>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</si>
  <si>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</si>
  <si>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</si>
  <si>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</si>
  <si>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</si>
  <si>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</si>
  <si>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</si>
  <si>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</si>
  <si>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</si>
  <si>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</si>
  <si>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</si>
  <si>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</si>
  <si>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</si>
  <si>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</si>
  <si>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</si>
  <si>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</si>
  <si>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</si>
  <si>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</si>
  <si>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</si>
  <si>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</si>
  <si>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</si>
  <si>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</si>
  <si>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</si>
  <si>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</si>
  <si>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</si>
  <si>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</si>
  <si>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</si>
  <si>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</si>
  <si>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</si>
  <si>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</si>
  <si>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</si>
  <si>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</si>
  <si>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</si>
  <si>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</si>
  <si>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</si>
  <si>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</si>
  <si>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</si>
  <si>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</si>
  <si>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</si>
  <si>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</si>
  <si>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</si>
  <si>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</si>
  <si>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</si>
  <si>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</si>
  <si>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</si>
  <si>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</si>
  <si>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</si>
  <si>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</si>
  <si>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</si>
  <si>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</si>
  <si>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</si>
  <si>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</si>
  <si>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</si>
  <si>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</si>
  <si>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</si>
  <si>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</si>
  <si>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</si>
  <si>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</si>
  <si>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</si>
  <si>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</si>
  <si>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</si>
  <si>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</si>
  <si>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</si>
  <si>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</si>
  <si>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</si>
  <si>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</si>
  <si>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</si>
  <si>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</si>
  <si>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</si>
  <si>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</si>
  <si>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</si>
  <si>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</si>
  <si>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</si>
  <si>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</si>
  <si>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</si>
  <si>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</si>
  <si>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</si>
  <si>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</si>
  <si>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</si>
  <si>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</si>
  <si>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</si>
  <si>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</si>
  <si>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</si>
  <si>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</si>
  <si>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</si>
  <si>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</si>
  <si>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</si>
  <si>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</si>
  <si>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</si>
  <si>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</si>
  <si>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</si>
  <si>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</si>
  <si>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</si>
  <si>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</si>
  <si>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</si>
  <si>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</si>
  <si>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</si>
  <si>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</si>
  <si>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</si>
  <si>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</si>
  <si>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</si>
  <si>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</si>
  <si>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</si>
  <si>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</si>
  <si>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</si>
  <si>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</si>
  <si>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</si>
  <si>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</si>
  <si>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</si>
  <si>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</si>
  <si>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</si>
  <si>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</si>
  <si>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</si>
  <si>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</si>
  <si>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</si>
  <si>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</si>
  <si>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</si>
  <si>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</si>
  <si>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</si>
  <si>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</si>
  <si>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</si>
  <si>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</si>
  <si>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</si>
  <si>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</si>
  <si>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</si>
  <si>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</si>
  <si>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</si>
  <si>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</si>
  <si>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</si>
  <si>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</si>
  <si>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</si>
  <si>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</si>
  <si>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</si>
  <si>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</si>
  <si>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</si>
  <si>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</si>
  <si>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</si>
  <si>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</si>
  <si>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</si>
  <si>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</si>
  <si>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</si>
  <si>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</si>
  <si>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</si>
  <si>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</si>
  <si>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</si>
  <si>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</si>
  <si>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</si>
  <si>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</si>
  <si>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</si>
  <si>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</si>
  <si>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</si>
  <si>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</si>
  <si>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</si>
  <si>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</si>
  <si>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</si>
  <si>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</si>
  <si>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</si>
  <si>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</si>
  <si>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</si>
  <si>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</si>
  <si>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</si>
  <si>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</si>
  <si>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</si>
  <si>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</si>
  <si>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</si>
  <si>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</si>
  <si>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</si>
  <si>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</si>
  <si>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</si>
  <si>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</si>
  <si>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</si>
  <si>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</si>
  <si>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</si>
  <si>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</si>
  <si>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</si>
  <si>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</si>
  <si>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</si>
  <si>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</si>
  <si>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</si>
  <si>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</si>
  <si>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</si>
  <si>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</si>
  <si>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</si>
  <si>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</si>
  <si>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</si>
  <si>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</si>
  <si>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</si>
  <si>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</si>
  <si>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</si>
  <si>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</si>
  <si>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</si>
  <si>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</si>
  <si>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</si>
  <si>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</si>
  <si>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</si>
  <si>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</si>
  <si>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</si>
  <si>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</si>
  <si>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</si>
  <si>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</si>
  <si>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</si>
  <si>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</si>
  <si>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</si>
  <si>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</si>
  <si>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</si>
  <si>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</si>
  <si>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</si>
  <si>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</si>
  <si>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</si>
  <si>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</si>
  <si>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</si>
  <si>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</si>
  <si>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</si>
  <si>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</si>
  <si>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</si>
  <si>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</si>
  <si>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</si>
  <si>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</si>
  <si>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</si>
  <si>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</si>
  <si>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</si>
  <si>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</si>
  <si>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</si>
  <si>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</si>
  <si>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</si>
  <si>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</si>
  <si>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</si>
  <si>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</si>
  <si>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</si>
  <si>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</si>
  <si>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</si>
  <si>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</si>
  <si>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</si>
  <si>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</si>
  <si>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</si>
  <si>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</si>
  <si>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</si>
  <si>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</si>
  <si>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</si>
  <si>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</si>
  <si>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</si>
  <si>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</si>
  <si>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</si>
  <si>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</si>
  <si>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</si>
  <si>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</si>
  <si>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</si>
  <si>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</si>
  <si>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</si>
  <si>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</si>
  <si>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</si>
  <si>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</si>
  <si>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</si>
  <si>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</si>
  <si>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</si>
  <si>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</si>
  <si>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</si>
  <si>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</si>
  <si>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</si>
  <si>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</si>
  <si>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</si>
  <si>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</si>
  <si>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</si>
  <si>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</si>
  <si>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</si>
  <si>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</si>
  <si>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</si>
  <si>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</si>
  <si>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</si>
  <si>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</si>
  <si>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</si>
  <si>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</si>
  <si>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</si>
  <si>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</si>
  <si>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</si>
  <si>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</si>
  <si>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</si>
  <si>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</si>
  <si>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</si>
  <si>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</si>
  <si>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</si>
  <si>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</si>
  <si>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</si>
  <si>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</si>
  <si>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</si>
  <si>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</si>
  <si>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</si>
  <si>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</si>
  <si>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</si>
  <si>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</si>
  <si>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</si>
  <si>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</si>
  <si>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</si>
  <si>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</si>
  <si>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</si>
  <si>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</si>
  <si>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</si>
  <si>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</si>
  <si>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</si>
  <si>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</si>
  <si>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</si>
  <si>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</si>
  <si>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</si>
  <si>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</si>
  <si>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</si>
  <si>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</si>
  <si>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</si>
  <si>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</si>
  <si>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</si>
  <si>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</si>
  <si>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</si>
  <si>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</si>
  <si>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</si>
  <si>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</si>
  <si>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</si>
  <si>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</si>
  <si>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</si>
  <si>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</si>
  <si>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</si>
  <si>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</si>
  <si>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</si>
  <si>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</si>
  <si>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</si>
  <si>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</si>
  <si>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</si>
  <si>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</si>
  <si>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</si>
  <si>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</si>
  <si>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</si>
  <si>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</si>
  <si>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</si>
  <si>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</si>
  <si>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</si>
  <si>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</si>
  <si>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</si>
  <si>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</si>
  <si>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</si>
  <si>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</si>
  <si>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</si>
  <si>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</si>
  <si>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</si>
  <si>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</si>
  <si>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</si>
  <si>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</si>
  <si>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</si>
  <si>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</si>
  <si>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</si>
  <si>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</si>
  <si>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</si>
  <si>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</si>
  <si>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</si>
  <si>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</si>
  <si>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</si>
  <si>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</si>
  <si>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</si>
  <si>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</si>
  <si>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</si>
  <si>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</si>
  <si>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</si>
  <si>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</si>
  <si>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</si>
  <si>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</si>
  <si>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</si>
  <si>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</si>
  <si>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</si>
  <si>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</si>
  <si>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</si>
  <si>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</si>
  <si>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</si>
  <si>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</si>
  <si>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</si>
  <si>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</si>
  <si>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</si>
  <si>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</si>
  <si>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</si>
  <si>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</si>
  <si>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</si>
  <si>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</si>
  <si>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</si>
  <si>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</si>
  <si>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</si>
  <si>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</si>
  <si>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</si>
  <si>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</si>
  <si>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</si>
  <si>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</si>
  <si>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</si>
  <si>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</si>
  <si>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</si>
  <si>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</si>
  <si>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</si>
  <si>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</si>
  <si>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</si>
  <si>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</si>
  <si>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</si>
  <si>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</si>
  <si>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</si>
  <si>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</si>
  <si>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</si>
  <si>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</si>
  <si>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</si>
  <si>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</si>
  <si>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</si>
  <si>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</si>
  <si>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</si>
  <si>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</si>
  <si>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</si>
  <si>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</si>
  <si>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</si>
  <si>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</si>
  <si>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</si>
  <si>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</si>
  <si>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</si>
  <si>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</si>
  <si>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</si>
  <si>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</si>
  <si>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</si>
  <si>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</si>
  <si>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</si>
  <si>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</si>
  <si>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</si>
  <si>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</si>
  <si>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</si>
  <si>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</si>
  <si>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</si>
  <si>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</si>
  <si>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</si>
  <si>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</si>
  <si>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</si>
  <si>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</si>
  <si>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</si>
  <si>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</si>
  <si>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</si>
  <si>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</si>
  <si>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</si>
  <si>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</si>
  <si>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</si>
  <si>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</si>
  <si>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</si>
  <si>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</si>
  <si>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</si>
  <si>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</si>
  <si>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</si>
  <si>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</si>
  <si>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</si>
  <si>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</si>
  <si>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</si>
  <si>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</si>
  <si>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</si>
  <si>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</si>
  <si>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</si>
  <si>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</si>
  <si>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</si>
  <si>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</si>
  <si>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</si>
  <si>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</si>
  <si>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</si>
  <si>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</si>
  <si>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</si>
  <si>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</si>
  <si>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</si>
  <si>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</si>
  <si>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</si>
  <si>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</si>
  <si>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</si>
  <si>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</si>
  <si>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</si>
  <si>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</si>
  <si>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</si>
  <si>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</si>
  <si>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</si>
  <si>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</si>
  <si>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</si>
  <si>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</si>
  <si>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</si>
  <si>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</si>
  <si>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</si>
  <si>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</si>
  <si>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</si>
  <si>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</si>
  <si>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</si>
  <si>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</si>
  <si>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</si>
  <si>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</si>
  <si>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</si>
  <si>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</si>
  <si>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</si>
  <si>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</si>
  <si>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</si>
  <si>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</si>
  <si>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</si>
  <si>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</si>
  <si>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</si>
  <si>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</si>
  <si>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</si>
  <si>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</si>
  <si>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</si>
  <si>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</si>
  <si>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</si>
  <si>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</si>
  <si>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</si>
  <si>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</si>
  <si>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</si>
  <si>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</si>
  <si>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</si>
  <si>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</si>
  <si>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</si>
  <si>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</si>
  <si>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</si>
  <si>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</si>
  <si>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</si>
  <si>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</si>
  <si>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</si>
  <si>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</si>
  <si>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</si>
  <si>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</si>
  <si>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</si>
  <si>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</si>
  <si>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</si>
  <si>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</si>
  <si>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</si>
  <si>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</si>
  <si>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</si>
  <si>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</si>
  <si>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</si>
  <si>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</si>
  <si>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</si>
  <si>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</si>
  <si>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</si>
  <si>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</si>
  <si>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</si>
  <si>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</si>
  <si>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</si>
  <si>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</si>
  <si>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</si>
  <si>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</si>
  <si>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</si>
  <si>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</si>
  <si>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</si>
  <si>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</si>
  <si>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</si>
  <si>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</si>
  <si>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</si>
  <si>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</si>
  <si>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</si>
  <si>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</si>
  <si>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</si>
  <si>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</si>
  <si>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</si>
  <si>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</si>
  <si>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</si>
  <si>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</si>
  <si>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</si>
  <si>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</si>
  <si>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</si>
  <si>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</si>
  <si>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</si>
  <si>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</si>
  <si>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</si>
  <si>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</si>
  <si>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</si>
  <si>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</si>
  <si>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</si>
  <si>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</si>
  <si>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</si>
  <si>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</si>
  <si>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</si>
  <si>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</si>
  <si>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</si>
  <si>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</si>
  <si>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</si>
  <si>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</si>
  <si>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</si>
  <si>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</si>
  <si>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</si>
  <si>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</si>
  <si>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</si>
  <si>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</si>
  <si>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</si>
  <si>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</si>
  <si>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</si>
  <si>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</si>
  <si>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</si>
  <si>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</si>
  <si>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</si>
  <si>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</si>
  <si>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</si>
  <si>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</si>
  <si>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</si>
  <si>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</si>
  <si>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</si>
  <si>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</si>
  <si>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</si>
  <si>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</si>
  <si>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</si>
  <si>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</si>
  <si>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</si>
  <si>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</si>
  <si>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</si>
  <si>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</si>
  <si>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</si>
  <si>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</si>
  <si>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</si>
  <si>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</si>
  <si>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</si>
  <si>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</si>
  <si>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</si>
  <si>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</si>
  <si>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</si>
  <si>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</si>
  <si>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</si>
  <si>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</si>
  <si>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</si>
  <si>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</si>
  <si>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</si>
  <si>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</si>
  <si>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</si>
  <si>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</si>
  <si>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</si>
  <si>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</si>
  <si>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</si>
  <si>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</si>
  <si>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</si>
  <si>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</si>
  <si>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</si>
  <si>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</si>
  <si>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</si>
  <si>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</si>
  <si>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</si>
  <si>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</si>
  <si>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</si>
  <si>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</si>
  <si>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</si>
  <si>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</si>
  <si>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</si>
  <si>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</si>
  <si>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</si>
  <si>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</si>
  <si>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</si>
  <si>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</si>
  <si>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</si>
  <si>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</si>
  <si>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</si>
  <si>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</si>
  <si>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</si>
  <si>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</si>
  <si>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</si>
  <si>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</si>
  <si>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</si>
  <si>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</si>
  <si>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</si>
  <si>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</si>
  <si>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</si>
  <si>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</si>
  <si>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</si>
  <si>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</si>
  <si>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</si>
  <si>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</si>
  <si>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</si>
  <si>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</si>
  <si>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</si>
  <si>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</si>
  <si>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</si>
  <si>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</si>
  <si>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</si>
  <si>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</si>
  <si>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</si>
  <si>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</si>
  <si>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</si>
  <si>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</si>
  <si>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</si>
  <si>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</si>
  <si>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</si>
  <si>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</si>
  <si>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</si>
  <si>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</si>
  <si>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</si>
  <si>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</si>
  <si>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</si>
  <si>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</si>
  <si>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</si>
  <si>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</si>
  <si>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</si>
  <si>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</si>
  <si>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</si>
  <si>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</si>
  <si>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</si>
  <si>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</si>
  <si>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</si>
  <si>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</si>
  <si>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</si>
  <si>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</si>
  <si>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</si>
  <si>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</si>
  <si>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</si>
  <si>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</si>
  <si>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</si>
  <si>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</si>
  <si>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</si>
  <si>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</si>
  <si>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</si>
  <si>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</si>
  <si>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</si>
  <si>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</si>
  <si>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</si>
  <si>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</si>
  <si>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</si>
  <si>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</si>
  <si>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</si>
  <si>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</si>
  <si>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</si>
  <si>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</si>
  <si>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</si>
  <si>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</si>
  <si>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</si>
  <si>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</si>
  <si>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</si>
  <si>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</si>
  <si>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</si>
  <si>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</si>
  <si>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</si>
  <si>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</si>
  <si>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</si>
  <si>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</si>
  <si>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</si>
  <si>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</si>
  <si>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</si>
  <si>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</si>
  <si>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</si>
  <si>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</si>
  <si>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</si>
  <si>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</si>
  <si>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</si>
  <si>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</si>
  <si>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</si>
  <si>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</si>
  <si>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</si>
  <si>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</si>
  <si>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</si>
  <si>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</si>
  <si>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</si>
  <si>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</si>
  <si>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</si>
  <si>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</si>
  <si>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</si>
  <si>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</si>
  <si>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</si>
  <si>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</si>
  <si>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</si>
  <si>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</si>
  <si>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</si>
  <si>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</si>
  <si>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</si>
  <si>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</si>
  <si>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</si>
  <si>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</si>
  <si>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</si>
  <si>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</si>
  <si>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</si>
  <si>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</si>
  <si>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</si>
  <si>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</si>
  <si>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</si>
  <si>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</si>
  <si>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</si>
  <si>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</si>
  <si>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</si>
  <si>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</si>
  <si>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</si>
  <si>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</si>
  <si>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</si>
  <si>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</si>
  <si>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</si>
  <si>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</si>
  <si>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</si>
  <si>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</si>
  <si>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</si>
  <si>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</si>
  <si>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</si>
  <si>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</si>
  <si>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</si>
  <si>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</si>
  <si>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</si>
  <si>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</si>
  <si>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</si>
  <si>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</si>
  <si>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</si>
  <si>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</si>
  <si>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</si>
  <si>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</si>
  <si>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</si>
  <si>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</si>
  <si>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</si>
  <si>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</si>
  <si>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</si>
  <si>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</si>
  <si>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</si>
  <si>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</si>
  <si>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</si>
  <si>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</si>
  <si>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</si>
  <si>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</si>
  <si>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</si>
  <si>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</si>
  <si>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</si>
  <si>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</si>
  <si>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</si>
  <si>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</si>
  <si>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</si>
  <si>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</si>
  <si>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</si>
  <si>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</si>
  <si>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</si>
  <si>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</si>
  <si>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</si>
  <si>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</si>
  <si>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</si>
  <si>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</si>
  <si>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</si>
  <si>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</si>
  <si>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</si>
  <si>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</si>
  <si>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</si>
  <si>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</si>
  <si>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</si>
  <si>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</si>
  <si>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</si>
  <si>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</si>
  <si>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</si>
  <si>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</si>
  <si>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</si>
  <si>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</si>
  <si>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</si>
  <si>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</si>
  <si>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</si>
  <si>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</si>
  <si>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</si>
  <si>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</si>
  <si>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</si>
  <si>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</si>
  <si>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</si>
  <si>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</si>
  <si>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</si>
  <si>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</si>
  <si>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</si>
  <si>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</si>
  <si>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</si>
  <si>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</si>
  <si>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</si>
  <si>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</si>
  <si>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</si>
  <si>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</si>
  <si>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</si>
  <si>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</si>
  <si>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</si>
  <si>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</si>
  <si>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</si>
  <si>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</si>
  <si>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</si>
  <si>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</si>
  <si>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</si>
  <si>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</si>
  <si>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</si>
  <si>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</si>
  <si>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</si>
  <si>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</si>
  <si>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</si>
  <si>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</si>
  <si>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</si>
  <si>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</si>
  <si>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</si>
  <si>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</si>
  <si>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</si>
  <si>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</si>
  <si>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</si>
  <si>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</si>
  <si>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</si>
  <si>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</si>
  <si>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</si>
  <si>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</si>
  <si>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</si>
  <si>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</si>
  <si>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</si>
  <si>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</si>
  <si>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</si>
  <si>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</si>
  <si>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</si>
  <si>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</si>
  <si>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</si>
  <si>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</si>
  <si>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</si>
  <si>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</si>
  <si>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</si>
  <si>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</si>
  <si>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</si>
  <si>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</si>
  <si>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</si>
  <si>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</si>
  <si>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</si>
  <si>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</si>
  <si>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</si>
  <si>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</si>
  <si>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</si>
  <si>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</si>
  <si>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</si>
  <si>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</si>
  <si>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</si>
  <si>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</si>
  <si>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</si>
  <si>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</si>
  <si>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</si>
  <si>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</si>
  <si>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</si>
  <si>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</si>
  <si>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</si>
  <si>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</si>
  <si>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</si>
  <si>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</si>
  <si>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</si>
  <si>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</si>
  <si>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</si>
  <si>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</si>
  <si>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</si>
  <si>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</si>
  <si>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</si>
  <si>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</si>
  <si>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</si>
  <si>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</si>
  <si>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</si>
  <si>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</si>
  <si>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</si>
  <si>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</si>
  <si>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</si>
  <si>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</si>
  <si>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</si>
  <si>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</si>
  <si>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</si>
  <si>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</si>
  <si>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</si>
  <si>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</si>
  <si>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</si>
  <si>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</si>
  <si>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</si>
  <si>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</si>
  <si>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</si>
  <si>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</si>
  <si>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</si>
  <si>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</si>
  <si>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</si>
  <si>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</si>
  <si>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</si>
  <si>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</si>
  <si>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</si>
  <si>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</si>
  <si>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</si>
  <si>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</si>
  <si>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</si>
  <si>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</si>
  <si>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</si>
  <si>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</si>
  <si>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</si>
  <si>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</si>
  <si>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</si>
  <si>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</si>
  <si>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</si>
  <si>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</si>
  <si>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</si>
  <si>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</si>
  <si>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</si>
  <si>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</si>
  <si>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</si>
  <si>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</si>
  <si>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</si>
  <si>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</si>
  <si>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</si>
  <si>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</si>
  <si>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</si>
  <si>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</si>
  <si>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</si>
  <si>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</si>
  <si>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</si>
  <si>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</si>
  <si>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</si>
  <si>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</si>
  <si>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</si>
  <si>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</si>
  <si>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</si>
  <si>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</si>
  <si>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</si>
  <si>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</si>
  <si>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</si>
  <si>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</si>
  <si>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</si>
  <si>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</si>
  <si>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</si>
  <si>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</si>
  <si>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</si>
  <si>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</si>
  <si>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</si>
  <si>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</si>
  <si>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</si>
  <si>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</si>
  <si>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</si>
  <si>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</si>
  <si>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</si>
  <si>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</si>
  <si>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</si>
  <si>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</si>
  <si>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</si>
  <si>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</si>
  <si>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</si>
  <si>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</si>
  <si>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</si>
  <si>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</si>
  <si>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</si>
  <si>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</si>
  <si>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</si>
  <si>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</si>
  <si>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</si>
  <si>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</si>
  <si>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</si>
  <si>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</si>
  <si>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</si>
  <si>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</si>
  <si>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</si>
  <si>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</si>
  <si>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</si>
  <si>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</si>
  <si>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</si>
  <si>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</si>
  <si>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</si>
  <si>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</si>
  <si>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</si>
  <si>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</si>
  <si>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</si>
  <si>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</si>
  <si>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</si>
  <si>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</si>
  <si>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</si>
  <si>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</si>
  <si>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</si>
  <si>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</si>
  <si>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</si>
  <si>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</si>
  <si>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</si>
  <si>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</si>
  <si>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</si>
  <si>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</si>
  <si>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</si>
  <si>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</si>
  <si>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</si>
  <si>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</si>
  <si>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</si>
  <si>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</si>
  <si>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</si>
  <si>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</si>
  <si>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</si>
  <si>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</si>
  <si>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</si>
  <si>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</si>
  <si>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</si>
  <si>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</si>
  <si>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</si>
  <si>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</si>
  <si>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</si>
  <si>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</si>
  <si>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</si>
  <si>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</si>
  <si>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</si>
  <si>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</si>
  <si>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</si>
  <si>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</si>
  <si>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</si>
  <si>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</si>
  <si>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</si>
  <si>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</si>
  <si>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</si>
  <si>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</si>
  <si>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</si>
  <si>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</si>
  <si>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</si>
  <si>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</si>
  <si>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</si>
  <si>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</si>
  <si>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</si>
  <si>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</si>
  <si>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</si>
  <si>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</si>
  <si>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</si>
  <si>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</si>
  <si>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</si>
  <si>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</si>
  <si>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</si>
  <si>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</si>
  <si>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</si>
  <si>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</si>
  <si>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</si>
  <si>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</si>
  <si>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</si>
  <si>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</si>
  <si>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</si>
  <si>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</si>
  <si>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</si>
  <si>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</si>
  <si>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</si>
  <si>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</si>
  <si>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</si>
  <si>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</si>
  <si>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</si>
  <si>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</si>
  <si>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</si>
  <si>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</si>
  <si>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</si>
  <si>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</si>
  <si>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</si>
  <si>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</si>
  <si>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</si>
  <si>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</si>
  <si>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</si>
  <si>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</si>
  <si>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</si>
  <si>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</si>
  <si>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</si>
  <si>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</si>
  <si>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</si>
  <si>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</si>
  <si>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</si>
  <si>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</si>
  <si>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</si>
  <si>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</si>
  <si>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</si>
  <si>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</si>
  <si>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</si>
  <si>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</si>
  <si>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</si>
  <si>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</si>
  <si>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</si>
  <si>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</si>
  <si>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</si>
  <si>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</si>
  <si>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</si>
  <si>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</si>
  <si>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</si>
  <si>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</si>
  <si>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</si>
  <si>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</si>
  <si>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</si>
  <si>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</si>
  <si>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</si>
  <si>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</si>
  <si>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</si>
  <si>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</si>
  <si>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</si>
  <si>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</si>
  <si>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</si>
  <si>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</si>
  <si>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</si>
  <si>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</si>
  <si>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</si>
  <si>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</si>
  <si>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</si>
  <si>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</si>
  <si>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</si>
  <si>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</si>
  <si>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</si>
  <si>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</si>
  <si>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</si>
  <si>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</si>
  <si>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</si>
  <si>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</si>
  <si>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</si>
  <si>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</si>
  <si>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</si>
  <si>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</si>
  <si>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</si>
  <si>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</si>
  <si>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</si>
  <si>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</si>
  <si>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</si>
  <si>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</si>
  <si>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</si>
  <si>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</si>
  <si>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</si>
  <si>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</si>
  <si>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</si>
  <si>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</si>
  <si>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</si>
  <si>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</si>
  <si>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</si>
  <si>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</si>
  <si>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</si>
  <si>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</si>
  <si>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</si>
  <si>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</si>
  <si>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</si>
  <si>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</si>
  <si>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</si>
  <si>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</si>
  <si>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</si>
  <si>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</si>
  <si>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</si>
  <si>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</si>
  <si>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</si>
  <si>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</si>
  <si>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</si>
  <si>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</si>
  <si>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</si>
  <si>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</si>
  <si>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</si>
  <si>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</si>
  <si>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</si>
  <si>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</si>
  <si>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</si>
  <si>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</si>
  <si>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</si>
  <si>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</si>
  <si>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</si>
  <si>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</si>
  <si>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</si>
  <si>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</si>
  <si>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</si>
  <si>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</si>
  <si>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</si>
  <si>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</si>
  <si>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</si>
  <si>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</si>
  <si>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</si>
  <si>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</si>
  <si>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</si>
  <si>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</si>
  <si>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</si>
  <si>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</si>
  <si>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</si>
  <si>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</si>
  <si>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</si>
  <si>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</si>
  <si>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</si>
  <si>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</si>
  <si>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</si>
  <si>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</si>
  <si>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</si>
  <si>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</si>
  <si>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</si>
  <si>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</si>
  <si>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</si>
  <si>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</si>
  <si>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</si>
  <si>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</si>
  <si>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</si>
  <si>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</si>
  <si>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</si>
  <si>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</si>
  <si>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</si>
  <si>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</si>
  <si>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</si>
  <si>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</si>
  <si>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</si>
  <si>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</si>
  <si>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</si>
  <si>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</si>
  <si>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</si>
  <si>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</si>
  <si>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</si>
  <si>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</si>
  <si>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</si>
  <si>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</si>
  <si>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</si>
  <si>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</si>
  <si>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</si>
  <si>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</si>
  <si>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</si>
  <si>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</si>
  <si>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</si>
  <si>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</si>
  <si>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</si>
  <si>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</si>
  <si>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</si>
  <si>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</si>
  <si>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</si>
  <si>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</si>
  <si>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</si>
  <si>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</si>
  <si>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</si>
  <si>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</si>
  <si>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</si>
  <si>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</si>
  <si>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</si>
  <si>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</si>
  <si>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</si>
  <si>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</si>
  <si>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</si>
  <si>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</si>
  <si>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</si>
  <si>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</si>
  <si>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</si>
  <si>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</si>
  <si>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</si>
  <si>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</si>
  <si>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</si>
  <si>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</si>
  <si>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</si>
  <si>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</si>
  <si>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</si>
  <si>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</si>
  <si>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</si>
  <si>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</si>
  <si>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</si>
  <si>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</si>
  <si>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</si>
  <si>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</si>
  <si>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</si>
  <si>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</si>
  <si>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</si>
  <si>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</si>
  <si>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</si>
  <si>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</si>
  <si>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</si>
  <si>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</si>
  <si>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</si>
  <si>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</si>
  <si>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</si>
  <si>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</si>
  <si>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</si>
  <si>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</si>
  <si>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</si>
  <si>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</si>
  <si>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</si>
  <si>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</si>
  <si>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</si>
  <si>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</si>
  <si>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</si>
  <si>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</si>
  <si>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</si>
  <si>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</si>
  <si>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</si>
  <si>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</si>
  <si>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</si>
  <si>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</si>
  <si>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</si>
  <si>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</si>
  <si>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</si>
  <si>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</si>
  <si>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</si>
  <si>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</si>
  <si>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</si>
  <si>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</si>
  <si>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</si>
  <si>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</si>
  <si>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</si>
  <si>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</si>
  <si>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</si>
  <si>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</si>
  <si>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</si>
  <si>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</si>
  <si>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</si>
  <si>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</si>
  <si>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</si>
  <si>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</si>
  <si>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</si>
  <si>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</si>
  <si>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</si>
  <si>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</si>
  <si>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</si>
  <si>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</si>
  <si>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</si>
  <si>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</si>
  <si>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</si>
  <si>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</si>
  <si>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</si>
  <si>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</si>
  <si>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</si>
  <si>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</si>
  <si>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</si>
  <si>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</si>
  <si>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</si>
  <si>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</si>
  <si>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</si>
  <si>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</si>
  <si>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</si>
  <si>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</si>
  <si>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</si>
  <si>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</si>
  <si>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</si>
  <si>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</si>
  <si>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</si>
  <si>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</si>
  <si>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</si>
  <si>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</si>
  <si>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</si>
  <si>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</si>
  <si>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</si>
  <si>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</si>
  <si>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</si>
  <si>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</si>
  <si>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</si>
  <si>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</si>
  <si>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</si>
  <si>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</si>
  <si>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</si>
  <si>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</si>
  <si>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</si>
  <si>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</si>
  <si>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</si>
  <si>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</si>
  <si>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</si>
  <si>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</si>
  <si>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</si>
  <si>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</si>
  <si>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</si>
  <si>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</si>
  <si>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</si>
  <si>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</si>
  <si>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</si>
  <si>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</si>
  <si>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</si>
  <si>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</si>
  <si>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</si>
  <si>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</si>
  <si>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</si>
  <si>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</si>
  <si>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</si>
  <si>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</si>
  <si>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</si>
  <si>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</si>
  <si>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</si>
  <si>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</si>
  <si>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</si>
  <si>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</si>
  <si>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</si>
  <si>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</si>
  <si>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</si>
  <si>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</si>
  <si>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</si>
  <si>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</si>
  <si>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</si>
  <si>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</si>
  <si>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</si>
  <si>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</si>
  <si>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</si>
  <si>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</si>
  <si>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</si>
  <si>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</si>
  <si>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</si>
  <si>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</si>
  <si>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</si>
  <si>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</si>
  <si>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</si>
  <si>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</si>
  <si>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</si>
  <si>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</si>
  <si>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</si>
  <si>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</si>
  <si>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</si>
  <si>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</si>
  <si>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</si>
  <si>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</si>
  <si>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</si>
  <si>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</si>
  <si>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</si>
  <si>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</si>
  <si>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</si>
  <si>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</si>
  <si>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</si>
  <si>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</si>
  <si>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</si>
  <si>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</si>
  <si>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</si>
  <si>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</si>
  <si>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</si>
  <si>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</si>
  <si>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</si>
  <si>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</si>
  <si>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</si>
  <si>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</si>
  <si>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</si>
  <si>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</si>
  <si>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</si>
  <si>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</si>
  <si>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</si>
  <si>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</si>
  <si>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</si>
  <si>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</si>
  <si>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</si>
  <si>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</si>
  <si>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</si>
  <si>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</si>
  <si>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</si>
  <si>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</si>
  <si>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</si>
  <si>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</si>
  <si>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</si>
  <si>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</si>
  <si>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</si>
  <si>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</si>
  <si>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</si>
  <si>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</si>
  <si>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</si>
  <si>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</si>
  <si>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</si>
  <si>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</si>
  <si>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</si>
  <si>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</si>
  <si>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</si>
  <si>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</si>
  <si>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</si>
  <si>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</si>
  <si>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</si>
  <si>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</si>
  <si>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</si>
  <si>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</si>
  <si>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</si>
  <si>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</si>
  <si>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</si>
  <si>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</si>
  <si>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</si>
  <si>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</si>
  <si>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</si>
  <si>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</si>
  <si>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</si>
  <si>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</si>
  <si>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</si>
  <si>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</si>
  <si>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</si>
  <si>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</si>
  <si>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</si>
  <si>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</si>
  <si>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</si>
  <si>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</si>
  <si>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</si>
  <si>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</si>
  <si>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</si>
  <si>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</si>
  <si>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</si>
  <si>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</si>
  <si>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</si>
  <si>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</si>
  <si>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</si>
  <si>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</si>
  <si>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</si>
  <si>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</si>
  <si>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</si>
  <si>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</si>
  <si>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</si>
  <si>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</si>
  <si>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</si>
  <si>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</si>
  <si>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</si>
  <si>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</si>
  <si>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</si>
  <si>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</si>
  <si>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</si>
  <si>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</si>
  <si>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</si>
  <si>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</si>
  <si>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</si>
  <si>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</si>
  <si>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</si>
  <si>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</si>
  <si>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</si>
  <si>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</si>
  <si>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</si>
  <si>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</si>
  <si>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</si>
  <si>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</si>
  <si>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</si>
  <si>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</si>
  <si>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</si>
  <si>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</si>
  <si>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</si>
  <si>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</si>
  <si>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</si>
  <si>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</si>
  <si>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</si>
  <si>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</si>
  <si>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</si>
  <si>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</si>
  <si>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</si>
  <si>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</si>
  <si>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</si>
  <si>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</si>
  <si>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</si>
  <si>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</si>
  <si>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</si>
  <si>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</si>
  <si>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</si>
  <si>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</si>
  <si>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</si>
  <si>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</si>
  <si>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</si>
  <si>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</si>
  <si>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</si>
  <si>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</si>
  <si>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</si>
  <si>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</si>
  <si>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</si>
  <si>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</si>
  <si>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</si>
  <si>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</si>
  <si>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</si>
  <si>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</si>
  <si>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</si>
  <si>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</si>
  <si>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</si>
  <si>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</si>
  <si>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</si>
  <si>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</si>
  <si>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</si>
  <si>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</si>
  <si>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</si>
  <si>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</si>
  <si>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</si>
  <si>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</si>
  <si>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</si>
  <si>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</si>
  <si>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</si>
  <si>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</si>
  <si>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</si>
  <si>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</si>
  <si>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</si>
  <si>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</si>
  <si>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</si>
  <si>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</si>
  <si>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</si>
  <si>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</si>
  <si>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</si>
  <si>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</si>
  <si>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</si>
  <si>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</si>
  <si>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</si>
  <si>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</si>
  <si>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</si>
  <si>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</si>
  <si>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</si>
  <si>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</si>
  <si>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</si>
  <si>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</si>
  <si>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</si>
  <si>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</si>
  <si>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</si>
  <si>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</si>
  <si>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</si>
  <si>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</si>
  <si>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</si>
  <si>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</si>
  <si>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</si>
  <si>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</si>
  <si>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</si>
  <si>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</si>
  <si>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</si>
  <si>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</si>
  <si>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</si>
  <si>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</si>
  <si>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</si>
  <si>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</si>
  <si>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</si>
  <si>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</si>
  <si>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</si>
  <si>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</si>
  <si>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</si>
  <si>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</si>
  <si>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</si>
  <si>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</si>
  <si>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</si>
  <si>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</si>
  <si>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</si>
  <si>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</si>
  <si>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</si>
  <si>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</si>
  <si>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</si>
  <si>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</si>
  <si>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</si>
  <si>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</si>
  <si>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</si>
  <si>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</si>
  <si>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</si>
  <si>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</si>
  <si>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</si>
  <si>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</si>
  <si>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</si>
  <si>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</si>
  <si>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</si>
  <si>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</si>
  <si>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</si>
  <si>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</si>
  <si>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</si>
  <si>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</si>
  <si>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</si>
  <si>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</si>
  <si>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</si>
  <si>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</si>
  <si>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</si>
  <si>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</si>
  <si>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</si>
  <si>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</si>
  <si>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</si>
  <si>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</si>
  <si>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</si>
  <si>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</si>
  <si>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</si>
  <si>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</si>
  <si>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</si>
  <si>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</si>
  <si>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</si>
  <si>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</si>
  <si>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</si>
  <si>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</si>
  <si>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</si>
  <si>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</si>
  <si>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</si>
  <si>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</si>
  <si>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</si>
  <si>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</si>
  <si>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</si>
  <si>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</si>
  <si>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</si>
  <si>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</si>
  <si>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</si>
  <si>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</si>
  <si>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</si>
  <si>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</si>
  <si>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</si>
  <si>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</si>
  <si>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</si>
  <si>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</si>
  <si>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</si>
  <si>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</si>
  <si>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</si>
  <si>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</si>
  <si>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</si>
  <si>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</si>
  <si>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</si>
  <si>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</si>
  <si>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</si>
  <si>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</si>
  <si>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</si>
  <si>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</si>
  <si>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</si>
  <si>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</si>
  <si>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</si>
  <si>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</si>
  <si>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</si>
  <si>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</si>
  <si>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</si>
  <si>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</si>
  <si>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</si>
  <si>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</si>
  <si>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</si>
  <si>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</si>
  <si>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</si>
  <si>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</si>
  <si>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</si>
  <si>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</si>
  <si>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</si>
  <si>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</si>
  <si>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</si>
  <si>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</si>
  <si>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</si>
  <si>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</si>
  <si>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</si>
  <si>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</si>
  <si>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</si>
  <si>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</si>
  <si>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</si>
  <si>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</si>
  <si>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</si>
  <si>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</si>
  <si>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</si>
  <si>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</si>
  <si>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</si>
  <si>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</si>
  <si>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</si>
  <si>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</si>
  <si>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</si>
  <si>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</si>
  <si>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</si>
  <si>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</si>
  <si>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</si>
  <si>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</si>
  <si>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</si>
  <si>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</si>
  <si>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</si>
  <si>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</si>
  <si>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</si>
  <si>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</si>
  <si>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</si>
  <si>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</si>
  <si>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</si>
  <si>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</si>
  <si>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</si>
  <si>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</si>
  <si>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</si>
  <si>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</si>
  <si>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</si>
  <si>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</si>
  <si>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</si>
  <si>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</si>
  <si>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</si>
  <si>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</si>
  <si>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</si>
  <si>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</si>
  <si>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</si>
  <si>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</si>
  <si>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</si>
  <si>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</si>
  <si>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</si>
  <si>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</si>
  <si>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</si>
  <si>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</si>
  <si>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</si>
  <si>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</si>
  <si>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</si>
  <si>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</si>
  <si>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</si>
  <si>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</si>
  <si>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</si>
  <si>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</si>
  <si>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</si>
  <si>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</si>
  <si>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</si>
  <si>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</si>
  <si>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</si>
  <si>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</si>
  <si>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</si>
  <si>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</si>
  <si>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</si>
  <si>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</si>
  <si>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</si>
  <si>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</si>
  <si>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</si>
  <si>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</si>
  <si>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</si>
  <si>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</si>
  <si>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</si>
  <si>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</si>
  <si>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</si>
  <si>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</si>
  <si>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</si>
  <si>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</si>
  <si>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</si>
  <si>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</si>
  <si>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</si>
  <si>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</si>
  <si>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</si>
  <si>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</si>
  <si>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</si>
  <si>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</si>
  <si>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</si>
  <si>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</si>
  <si>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</si>
  <si>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</si>
  <si>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</si>
  <si>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</si>
  <si>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</si>
  <si>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</si>
  <si>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</si>
  <si>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</si>
  <si>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</si>
  <si>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</si>
  <si>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</si>
  <si>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</si>
  <si>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</si>
  <si>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</si>
  <si>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</si>
  <si>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</si>
  <si>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</si>
  <si>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</si>
  <si>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</si>
  <si>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</si>
  <si>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</si>
  <si>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</si>
  <si>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</si>
  <si>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</si>
  <si>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</si>
  <si>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</si>
  <si>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</si>
  <si>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</si>
  <si>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</si>
  <si>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</si>
  <si>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</si>
  <si>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</si>
  <si>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</si>
  <si>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</si>
  <si>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</si>
  <si>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</si>
  <si>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</si>
  <si>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</si>
  <si>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</si>
  <si>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</si>
  <si>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</si>
  <si>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</si>
  <si>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</si>
  <si>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</si>
  <si>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</si>
  <si>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</si>
  <si>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</si>
  <si>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</si>
  <si>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</si>
  <si>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</si>
  <si>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</si>
  <si>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</si>
  <si>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</si>
  <si>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</si>
  <si>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</si>
  <si>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</si>
  <si>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</si>
  <si>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</si>
  <si>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</si>
  <si>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</si>
  <si>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</si>
  <si>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</si>
  <si>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</si>
  <si>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</si>
  <si>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</si>
  <si>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</si>
  <si>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</si>
  <si>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</si>
  <si>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</si>
  <si>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</si>
  <si>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</si>
  <si>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</si>
  <si>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</si>
  <si>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</si>
  <si>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</si>
  <si>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</si>
  <si>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</si>
  <si>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</si>
  <si>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</si>
  <si>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</si>
  <si>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</si>
  <si>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</si>
  <si>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</si>
  <si>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</si>
  <si>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</si>
  <si>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</si>
  <si>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</si>
  <si>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</si>
  <si>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</si>
  <si>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</si>
  <si>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</si>
  <si>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</si>
  <si>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</si>
  <si>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</si>
  <si>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</si>
  <si>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</si>
  <si>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</si>
  <si>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</si>
  <si>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</si>
  <si>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</si>
  <si>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</si>
  <si>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</si>
  <si>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</si>
  <si>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</si>
  <si>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</si>
  <si>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</si>
  <si>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</si>
  <si>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</si>
  <si>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</si>
  <si>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</si>
  <si>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</si>
  <si>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</si>
  <si>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</si>
  <si>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</si>
  <si>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</si>
  <si>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</si>
  <si>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</si>
  <si>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</si>
  <si>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</si>
  <si>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</si>
  <si>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</si>
  <si>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</si>
  <si>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</si>
  <si>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</si>
  <si>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</si>
  <si>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</si>
  <si>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</si>
  <si>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</si>
  <si>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</si>
  <si>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</si>
  <si>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</si>
  <si>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</si>
  <si>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</si>
  <si>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</si>
  <si>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</si>
  <si>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</si>
  <si>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</si>
  <si>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</si>
  <si>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</si>
  <si>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</si>
  <si>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</si>
  <si>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</si>
  <si>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</si>
  <si>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</si>
  <si>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</si>
  <si>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</si>
  <si>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</si>
  <si>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</si>
  <si>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</si>
  <si>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</si>
  <si>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</si>
  <si>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</si>
  <si>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</si>
  <si>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</si>
  <si>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</si>
  <si>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</si>
  <si>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</si>
  <si>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</si>
  <si>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</si>
  <si>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</si>
  <si>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</si>
  <si>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</si>
  <si>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</si>
  <si>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</si>
  <si>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</si>
  <si>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</si>
  <si>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</si>
  <si>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</si>
  <si>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</si>
  <si>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</si>
  <si>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</si>
  <si>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</si>
  <si>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</si>
  <si>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</si>
  <si>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</si>
  <si>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</si>
  <si>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</si>
  <si>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</si>
  <si>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</si>
  <si>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</si>
  <si>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</si>
  <si>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</si>
  <si>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</si>
  <si>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</si>
  <si>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</si>
  <si>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</si>
  <si>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</si>
  <si>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</si>
  <si>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</si>
  <si>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</si>
  <si>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</si>
  <si>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</si>
  <si>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</si>
  <si>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</si>
  <si>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</si>
  <si>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</si>
  <si>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</si>
  <si>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</si>
  <si>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</si>
  <si>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</si>
  <si>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</si>
  <si>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</si>
  <si>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</si>
  <si>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</si>
  <si>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</si>
  <si>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</si>
  <si>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</si>
  <si>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</si>
  <si>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</si>
  <si>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</si>
  <si>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</si>
  <si>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</si>
  <si>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</si>
  <si>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</si>
  <si>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</si>
  <si>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</si>
  <si>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</si>
  <si>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</si>
  <si>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</si>
  <si>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</si>
  <si>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</si>
  <si>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</si>
  <si>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</si>
  <si>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</si>
  <si>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</si>
  <si>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</si>
  <si>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</si>
  <si>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</si>
  <si>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</si>
  <si>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</si>
  <si>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</si>
  <si>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</si>
  <si>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</si>
  <si>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</si>
  <si>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</si>
  <si>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</si>
  <si>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</si>
  <si>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</si>
  <si>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</si>
  <si>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</si>
  <si>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</si>
  <si>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</si>
  <si>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</si>
  <si>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</si>
  <si>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</si>
  <si>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</si>
  <si>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</si>
  <si>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</si>
  <si>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</si>
  <si>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</si>
  <si>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</si>
  <si>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</si>
  <si>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</si>
  <si>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</si>
  <si>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</si>
  <si>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</si>
  <si>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</si>
  <si>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</si>
  <si>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</si>
  <si>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</si>
  <si>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</si>
  <si>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</si>
  <si>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</si>
  <si>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</si>
  <si>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</si>
  <si>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</si>
  <si>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</si>
  <si>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</si>
  <si>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</si>
  <si>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</si>
  <si>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</si>
  <si>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</si>
  <si>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</si>
  <si>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</si>
  <si>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</si>
  <si>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</si>
  <si>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</si>
  <si>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</si>
  <si>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</si>
  <si>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</si>
  <si>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</si>
  <si>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</si>
  <si>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</si>
  <si>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</si>
  <si>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</si>
  <si>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</si>
  <si>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</si>
  <si>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</si>
  <si>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</si>
  <si>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</si>
  <si>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</si>
  <si>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</si>
  <si>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</si>
  <si>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</si>
  <si>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</si>
  <si>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</si>
  <si>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</si>
  <si>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</si>
  <si>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</si>
  <si>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</si>
  <si>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</si>
  <si>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</si>
  <si>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</si>
  <si>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</si>
  <si>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</si>
  <si>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</si>
  <si>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</si>
  <si>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</si>
  <si>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</si>
  <si>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</si>
  <si>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</si>
  <si>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</si>
  <si>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</si>
  <si>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</si>
  <si>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</si>
  <si>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</si>
  <si>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</si>
  <si>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</si>
  <si>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</si>
  <si>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</si>
  <si>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</si>
  <si>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</si>
  <si>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</si>
  <si>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</si>
  <si>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</si>
  <si>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</si>
  <si>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</si>
  <si>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</si>
  <si>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</si>
  <si>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</si>
  <si>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</si>
  <si>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</si>
  <si>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</si>
  <si>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</si>
  <si>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</si>
  <si>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</si>
  <si>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</si>
  <si>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</si>
  <si>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</si>
  <si>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</si>
  <si>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</si>
  <si>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</si>
  <si>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</si>
  <si>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</si>
  <si>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</si>
  <si>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</si>
  <si>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</si>
  <si>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</si>
  <si>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</si>
  <si>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</si>
  <si>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</si>
  <si>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</si>
  <si>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</si>
  <si>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</si>
  <si>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</si>
  <si>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</si>
  <si>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</si>
  <si>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</si>
  <si>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</si>
  <si>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</si>
  <si>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</si>
  <si>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</si>
  <si>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</si>
  <si>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</si>
  <si>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</si>
  <si>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</si>
  <si>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</si>
  <si>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</si>
  <si>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</si>
  <si>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</si>
  <si>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</si>
  <si>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</si>
  <si>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</si>
  <si>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</si>
  <si>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</si>
  <si>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</si>
  <si>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</si>
  <si>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</si>
  <si>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</si>
  <si>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</si>
  <si>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</si>
  <si>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</si>
  <si>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</si>
  <si>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</si>
  <si>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</si>
  <si>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</si>
  <si>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</si>
  <si>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</si>
  <si>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</si>
  <si>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</si>
  <si>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</si>
  <si>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</si>
  <si>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</si>
  <si>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</si>
  <si>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</si>
  <si>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</si>
  <si>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</si>
  <si>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</si>
  <si>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</si>
  <si>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</si>
  <si>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</si>
  <si>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</si>
  <si>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</si>
  <si>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</si>
  <si>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</si>
  <si>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</si>
  <si>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</si>
  <si>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</si>
  <si>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</si>
  <si>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</si>
  <si>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</si>
  <si>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</si>
  <si>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</si>
  <si>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</si>
  <si>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</si>
  <si>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</si>
  <si>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</si>
  <si>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</si>
  <si>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</si>
  <si>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</si>
  <si>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</si>
  <si>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</si>
  <si>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</si>
  <si>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</si>
  <si>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</si>
  <si>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</si>
  <si>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</si>
  <si>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</si>
  <si>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</si>
  <si>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</si>
  <si>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</si>
  <si>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</si>
  <si>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</si>
  <si>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</si>
  <si>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</si>
  <si>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</si>
  <si>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</si>
  <si>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</si>
  <si>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</si>
  <si>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</si>
  <si>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</si>
  <si>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</si>
  <si>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</si>
  <si>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</si>
  <si>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</si>
  <si>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</si>
  <si>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</si>
  <si>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</si>
  <si>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</si>
  <si>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</si>
  <si>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</si>
  <si>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</si>
  <si>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</si>
  <si>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</si>
  <si>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</si>
  <si>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</si>
  <si>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</si>
  <si>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</si>
  <si>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</si>
  <si>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</si>
  <si>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</si>
  <si>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</si>
  <si>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</si>
  <si>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</si>
  <si>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</si>
  <si>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</si>
  <si>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</si>
  <si>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</si>
  <si>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</si>
  <si>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</si>
  <si>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</si>
  <si>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</si>
  <si>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</si>
  <si>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</si>
  <si>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</si>
  <si>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</si>
  <si>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</si>
  <si>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</si>
  <si>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</si>
  <si>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</si>
  <si>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</si>
  <si>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</si>
  <si>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</si>
  <si>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</si>
  <si>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</si>
  <si>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</si>
  <si>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</si>
  <si>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</si>
  <si>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</si>
  <si>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</si>
  <si>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</si>
  <si>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</si>
  <si>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</si>
  <si>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</si>
  <si>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</si>
  <si>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</si>
  <si>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</si>
  <si>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</si>
  <si>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</si>
  <si>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</si>
  <si>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</si>
  <si>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</si>
  <si>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</si>
  <si>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</si>
  <si>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</si>
  <si>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</si>
  <si>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</si>
  <si>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</si>
  <si>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</si>
  <si>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</si>
  <si>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</si>
  <si>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</si>
  <si>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</si>
  <si>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</si>
  <si>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</si>
  <si>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</si>
  <si>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</si>
  <si>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</si>
  <si>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</si>
  <si>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</si>
  <si>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</si>
  <si>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</si>
  <si>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</si>
  <si>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</si>
  <si>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</si>
  <si>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</si>
  <si>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</si>
  <si>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</si>
  <si>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</si>
  <si>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</si>
  <si>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</si>
  <si>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</si>
  <si>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</si>
  <si>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</si>
  <si>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</si>
  <si>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</si>
  <si>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</si>
  <si>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</si>
  <si>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</si>
  <si>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</si>
  <si>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</si>
  <si>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</si>
  <si>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</si>
  <si>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</si>
  <si>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</si>
  <si>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</si>
  <si>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</si>
  <si>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</si>
  <si>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</si>
  <si>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</si>
  <si>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</si>
  <si>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</si>
  <si>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</si>
  <si>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</si>
  <si>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</si>
  <si>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</si>
  <si>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</si>
  <si>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</si>
  <si>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</si>
  <si>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</si>
  <si>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</si>
  <si>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</si>
  <si>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</si>
  <si>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</si>
  <si>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</si>
  <si>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</si>
  <si>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</si>
  <si>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</si>
  <si>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</si>
  <si>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</si>
  <si>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</si>
  <si>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</si>
  <si>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</si>
  <si>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</si>
  <si>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</si>
  <si>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</si>
  <si>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</si>
  <si>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</si>
  <si>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</si>
  <si>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</si>
  <si>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</si>
  <si>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</si>
  <si>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</si>
  <si>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</si>
  <si>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</si>
  <si>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</si>
  <si>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</si>
  <si>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</si>
  <si>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</si>
  <si>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</si>
  <si>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</si>
  <si>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</si>
  <si>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</si>
  <si>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</si>
  <si>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</si>
  <si>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</si>
  <si>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</si>
  <si>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</si>
  <si>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</si>
  <si>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</si>
  <si>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</si>
  <si>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</si>
  <si>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</si>
  <si>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</si>
  <si>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</si>
  <si>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</si>
  <si>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</si>
  <si>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</si>
  <si>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</si>
  <si>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</si>
  <si>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</si>
  <si>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</si>
  <si>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</si>
  <si>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</si>
  <si>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</si>
  <si>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</si>
  <si>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</si>
  <si>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</si>
  <si>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</si>
  <si>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</si>
  <si>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</si>
  <si>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</si>
  <si>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</si>
  <si>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</si>
  <si>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</si>
  <si>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</si>
  <si>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</si>
  <si>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</si>
  <si>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</si>
  <si>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</si>
  <si>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</si>
  <si>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</si>
  <si>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</si>
  <si>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</si>
  <si>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</si>
  <si>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</si>
  <si>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</si>
  <si>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</si>
  <si>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</si>
  <si>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</si>
  <si>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</si>
  <si>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</si>
  <si>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</si>
  <si>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</si>
  <si>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</si>
  <si>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</si>
  <si>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</si>
  <si>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</si>
  <si>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</si>
  <si>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</si>
  <si>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</si>
  <si>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</si>
  <si>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</si>
  <si>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</si>
  <si>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</si>
  <si>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</si>
  <si>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</si>
  <si>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</si>
  <si>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</si>
  <si>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</si>
  <si>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</si>
  <si>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</si>
  <si>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</si>
  <si>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</si>
  <si>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</si>
  <si>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</si>
  <si>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</si>
  <si>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</si>
  <si>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</si>
  <si>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</si>
  <si>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</si>
  <si>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</si>
  <si>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</si>
  <si>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</si>
  <si>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</si>
  <si>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</si>
  <si>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</si>
  <si>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</si>
  <si>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</si>
  <si>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</si>
  <si>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</si>
  <si>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</si>
  <si>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</si>
  <si>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</si>
  <si>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</si>
  <si>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</si>
  <si>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</si>
  <si>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</si>
  <si>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</si>
  <si>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</si>
  <si>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</si>
  <si>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</si>
  <si>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</si>
  <si>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</si>
  <si>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</si>
  <si>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</si>
  <si>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</si>
  <si>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</si>
  <si>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</si>
  <si>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</si>
  <si>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</si>
  <si>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</si>
  <si>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</si>
  <si>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</si>
  <si>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</si>
  <si>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</si>
  <si>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</si>
  <si>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</si>
  <si>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</si>
  <si>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</si>
  <si>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</si>
  <si>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</si>
  <si>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</si>
  <si>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</si>
  <si>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</si>
  <si>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</si>
  <si>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</si>
  <si>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</si>
  <si>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</si>
  <si>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</si>
  <si>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</si>
  <si>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</si>
  <si>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</si>
  <si>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</si>
  <si>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</si>
  <si>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</si>
  <si>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</si>
  <si>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</si>
  <si>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</si>
  <si>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</si>
  <si>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</si>
  <si>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</si>
  <si>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</si>
  <si>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</si>
  <si>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</si>
  <si>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</si>
  <si>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</si>
  <si>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</si>
  <si>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</si>
  <si>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</si>
  <si>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</si>
  <si>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</si>
  <si>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</si>
  <si>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</si>
  <si>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</si>
  <si>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</si>
  <si>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</si>
  <si>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</si>
  <si>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</si>
  <si>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</si>
  <si>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</si>
  <si>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</si>
  <si>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</si>
  <si>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</si>
  <si>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</si>
  <si>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</si>
  <si>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</si>
  <si>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</si>
  <si>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</si>
  <si>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</si>
  <si>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</si>
  <si>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</si>
  <si>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</si>
  <si>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</si>
  <si>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</si>
  <si>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</si>
  <si>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</si>
  <si>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</si>
  <si>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</si>
  <si>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</si>
  <si>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</si>
  <si>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</si>
  <si>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</si>
  <si>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</si>
  <si>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</si>
  <si>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</si>
  <si>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</si>
  <si>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</si>
  <si>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</si>
  <si>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</si>
  <si>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</si>
  <si>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</si>
  <si>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</si>
  <si>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</si>
  <si>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</si>
  <si>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</si>
  <si>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</si>
  <si>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</si>
  <si>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</si>
  <si>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</si>
  <si>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</si>
  <si>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</si>
  <si>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</si>
  <si>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</si>
  <si>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</si>
  <si>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</si>
  <si>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</si>
  <si>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</si>
  <si>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</si>
  <si>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</si>
  <si>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</si>
  <si>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</si>
  <si>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</si>
  <si>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</si>
  <si>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</si>
  <si>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</si>
  <si>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</si>
  <si>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</si>
  <si>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</si>
  <si>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</si>
  <si>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</si>
  <si>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</si>
  <si>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</si>
  <si>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</si>
  <si>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</si>
  <si>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</si>
  <si>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</si>
  <si>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</si>
  <si>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</si>
  <si>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</si>
  <si>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</si>
  <si>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</si>
  <si>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</si>
  <si>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</si>
  <si>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</si>
  <si>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</si>
  <si>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</si>
  <si>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</si>
  <si>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</si>
  <si>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</si>
  <si>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</si>
  <si>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</si>
  <si>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</si>
  <si>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</si>
  <si>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</si>
  <si>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</si>
  <si>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</si>
  <si>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</si>
  <si>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</si>
  <si>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</si>
  <si>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</si>
  <si>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</si>
  <si>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</si>
  <si>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</si>
  <si>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</si>
  <si>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</si>
  <si>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</si>
  <si>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</si>
  <si>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</si>
  <si>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</si>
  <si>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</si>
  <si>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</si>
  <si>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</si>
  <si>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</si>
  <si>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</si>
  <si>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</si>
  <si>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</si>
  <si>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</si>
  <si>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</si>
  <si>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</si>
  <si>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</si>
  <si>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</si>
  <si>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</si>
  <si>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</si>
  <si>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</si>
  <si>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</si>
  <si>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</si>
  <si>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</si>
  <si>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</si>
  <si>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</si>
  <si>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</si>
  <si>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</si>
  <si>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</si>
  <si>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</si>
  <si>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</si>
  <si>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</si>
  <si>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</si>
  <si>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</si>
  <si>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</si>
  <si>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</si>
  <si>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</si>
  <si>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</si>
  <si>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</si>
  <si>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</si>
  <si>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</si>
  <si>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</si>
  <si>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</si>
  <si>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</si>
  <si>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</si>
  <si>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</si>
  <si>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</si>
  <si>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</si>
  <si>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</si>
  <si>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</si>
  <si>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</si>
  <si>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</si>
  <si>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</si>
  <si>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</si>
  <si>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</si>
  <si>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</si>
  <si>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</si>
  <si>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</si>
  <si>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</si>
  <si>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</si>
  <si>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</si>
  <si>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</si>
  <si>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</si>
  <si>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</si>
  <si>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</si>
  <si>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</si>
  <si>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</si>
  <si>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</si>
  <si>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</si>
  <si>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</si>
  <si>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</si>
  <si>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</si>
  <si>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</si>
  <si>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</si>
  <si>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</si>
  <si>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</si>
  <si>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</si>
  <si>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</si>
  <si>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</si>
  <si>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</si>
  <si>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</si>
  <si>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</si>
  <si>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</si>
  <si>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</si>
  <si>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</si>
  <si>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</si>
  <si>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</si>
  <si>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</si>
  <si>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</si>
  <si>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</si>
  <si>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</si>
  <si>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</si>
  <si>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</si>
  <si>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</si>
  <si>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</si>
  <si>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</si>
  <si>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</si>
  <si>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</si>
  <si>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</si>
  <si>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</si>
  <si>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</si>
  <si>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</si>
  <si>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</si>
  <si>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</si>
  <si>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</si>
  <si>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</si>
  <si>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</si>
  <si>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</si>
  <si>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</si>
  <si>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</si>
  <si>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</si>
  <si>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</si>
  <si>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</si>
  <si>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</si>
  <si>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</si>
  <si>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</si>
  <si>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</si>
  <si>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</si>
  <si>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</si>
  <si>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</si>
  <si>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</si>
  <si>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</si>
  <si>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</si>
  <si>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</si>
  <si>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</si>
  <si>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</si>
  <si>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</si>
  <si>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</si>
  <si>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</si>
  <si>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</si>
  <si>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</si>
  <si>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</si>
  <si>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</si>
  <si>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</si>
  <si>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</si>
  <si>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</si>
  <si>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</si>
  <si>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</si>
  <si>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</si>
  <si>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</si>
  <si>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</si>
  <si>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</si>
  <si>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</si>
  <si>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</si>
  <si>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</si>
  <si>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</si>
  <si>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</si>
  <si>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</si>
  <si>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</si>
  <si>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</si>
  <si>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</si>
  <si>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</si>
  <si>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</si>
  <si>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</si>
  <si>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</si>
  <si>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</si>
  <si>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</si>
  <si>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</si>
  <si>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</si>
  <si>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</si>
  <si>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</si>
  <si>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</si>
  <si>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</si>
  <si>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</si>
  <si>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</si>
  <si>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</si>
  <si>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</si>
  <si>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</si>
  <si>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</si>
  <si>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</si>
  <si>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</si>
  <si>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</si>
  <si>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</si>
  <si>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</si>
  <si>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</si>
  <si>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</si>
  <si>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</si>
  <si>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</si>
  <si>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</si>
  <si>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</si>
  <si>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</si>
  <si>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</si>
  <si>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</si>
  <si>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</si>
  <si>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</si>
  <si>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</si>
  <si>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</si>
  <si>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</si>
  <si>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</si>
  <si>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</si>
  <si>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</si>
  <si>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</si>
  <si>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</si>
  <si>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</si>
  <si>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</si>
  <si>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</si>
  <si>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</si>
  <si>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</si>
  <si>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</si>
  <si>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</si>
  <si>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</si>
  <si>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</si>
  <si>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</si>
  <si>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</si>
  <si>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</si>
  <si>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</si>
  <si>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</si>
  <si>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</si>
  <si>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</si>
  <si>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</si>
  <si>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</si>
  <si>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</si>
  <si>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</si>
  <si>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</si>
  <si>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</si>
  <si>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</si>
  <si>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</si>
  <si>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</si>
  <si>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</si>
  <si>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</si>
  <si>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</si>
  <si>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</si>
  <si>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</si>
  <si>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</si>
  <si>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</si>
  <si>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</si>
  <si>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</si>
  <si>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</si>
  <si>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</si>
  <si>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</si>
  <si>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</si>
  <si>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</si>
  <si>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</si>
  <si>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</si>
  <si>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</si>
  <si>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</si>
  <si>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</si>
  <si>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</si>
  <si>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</si>
  <si>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</si>
  <si>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</si>
  <si>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</si>
  <si>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</si>
  <si>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</si>
  <si>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</si>
  <si>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</si>
  <si>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</si>
  <si>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</si>
  <si>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</si>
  <si>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</si>
  <si>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</si>
  <si>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</si>
  <si>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</si>
  <si>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</si>
  <si>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</si>
  <si>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</si>
  <si>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</si>
  <si>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</si>
  <si>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</si>
  <si>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</si>
  <si>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</si>
  <si>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</si>
  <si>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</si>
  <si>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</si>
  <si>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</si>
  <si>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</si>
  <si>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</si>
  <si>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</si>
  <si>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</si>
  <si>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</si>
  <si>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</si>
  <si>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</si>
  <si>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</si>
  <si>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</si>
  <si>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</si>
  <si>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</si>
  <si>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</si>
  <si>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</si>
  <si>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</si>
  <si>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</si>
  <si>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</si>
  <si>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</si>
  <si>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</si>
  <si>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</si>
  <si>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</si>
  <si>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</si>
  <si>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</si>
  <si>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</si>
  <si>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</si>
  <si>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</si>
  <si>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</si>
  <si>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</si>
  <si>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</si>
  <si>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</si>
  <si>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</si>
  <si>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</si>
  <si>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</si>
  <si>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</si>
  <si>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</si>
  <si>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</si>
  <si>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</si>
  <si>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</si>
  <si>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</si>
  <si>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</si>
  <si>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</si>
  <si>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</si>
  <si>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</si>
  <si>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</si>
  <si>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</si>
  <si>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</si>
  <si>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</si>
  <si>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</si>
  <si>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</si>
  <si>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</si>
  <si>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</si>
  <si>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</si>
  <si>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</si>
  <si>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</si>
  <si>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</si>
  <si>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</si>
  <si>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</si>
  <si>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</si>
  <si>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</si>
  <si>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</si>
  <si>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</si>
  <si>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</si>
  <si>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</si>
  <si>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</si>
  <si>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</si>
  <si>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</si>
  <si>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</si>
  <si>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</si>
  <si>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</si>
  <si>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</si>
  <si>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</si>
  <si>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</si>
  <si>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</si>
  <si>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</si>
  <si>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</si>
  <si>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</si>
  <si>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</si>
  <si>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</si>
  <si>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</si>
  <si>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</si>
  <si>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</si>
  <si>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</si>
  <si>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</si>
  <si>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</si>
  <si>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</si>
  <si>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</si>
  <si>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</si>
  <si>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</si>
  <si>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</si>
  <si>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</si>
  <si>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</si>
  <si>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</si>
  <si>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</si>
  <si>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</si>
  <si>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</si>
  <si>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</si>
  <si>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</si>
  <si>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</si>
  <si>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</si>
  <si>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</si>
  <si>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</si>
  <si>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</si>
  <si>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</si>
  <si>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</si>
  <si>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</si>
  <si>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</si>
  <si>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</si>
  <si>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</si>
  <si>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</si>
  <si>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</si>
  <si>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</si>
  <si>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</si>
  <si>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</si>
  <si>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</si>
  <si>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</si>
  <si>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</si>
  <si>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</si>
  <si>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</si>
  <si>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</si>
  <si>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</si>
  <si>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</si>
  <si>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</si>
  <si>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</si>
  <si>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</si>
  <si>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</si>
  <si>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</si>
  <si>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</si>
  <si>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</si>
  <si>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</si>
  <si>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</si>
  <si>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</si>
  <si>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</si>
  <si>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</si>
  <si>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</si>
  <si>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</si>
  <si>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</si>
  <si>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</si>
  <si>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</si>
  <si>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</si>
  <si>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</si>
  <si>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</si>
  <si>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</si>
  <si>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</si>
  <si>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</si>
  <si>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</si>
  <si>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</si>
  <si>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</si>
  <si>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</si>
  <si>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</si>
  <si>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</si>
  <si>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</si>
  <si>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</si>
  <si>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</si>
  <si>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</si>
  <si>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</si>
  <si>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</si>
  <si>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</si>
  <si>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</si>
  <si>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</si>
  <si>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</si>
  <si>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</si>
  <si>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</si>
  <si>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</si>
  <si>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</si>
  <si>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</si>
  <si>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</si>
  <si>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</si>
  <si>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</si>
  <si>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</si>
  <si>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</si>
  <si>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</si>
  <si>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</si>
  <si>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</si>
  <si>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</si>
  <si>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</si>
  <si>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</si>
  <si>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</si>
  <si>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</si>
  <si>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</si>
  <si>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</si>
  <si>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</si>
  <si>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</si>
  <si>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</si>
  <si>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</si>
  <si>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</si>
  <si>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</si>
  <si>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</si>
  <si>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</si>
  <si>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</si>
  <si>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</si>
  <si>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</si>
  <si>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</si>
  <si>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</si>
  <si>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</si>
  <si>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</si>
  <si>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</si>
  <si>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</si>
  <si>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</si>
  <si>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</si>
  <si>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</si>
  <si>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</si>
  <si>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</si>
  <si>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</si>
  <si>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</si>
  <si>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</si>
  <si>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</si>
  <si>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</si>
  <si>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</si>
  <si>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</si>
  <si>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</si>
  <si>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</si>
  <si>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</si>
  <si>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</si>
  <si>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</si>
  <si>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</si>
  <si>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</si>
  <si>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</si>
  <si>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</si>
  <si>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</si>
  <si>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</si>
  <si>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</si>
  <si>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</si>
  <si>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</si>
  <si>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</si>
  <si>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</si>
  <si>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</si>
  <si>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</si>
  <si>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</si>
  <si>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</si>
  <si>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</si>
  <si>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</si>
  <si>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</si>
  <si>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</si>
  <si>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</si>
  <si>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</si>
  <si>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</si>
  <si>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</si>
  <si>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</si>
  <si>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</si>
  <si>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</si>
  <si>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</si>
  <si>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</si>
  <si>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</si>
  <si>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</si>
  <si>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</si>
  <si>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</si>
  <si>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</si>
  <si>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</si>
  <si>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</si>
  <si>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</si>
  <si>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</si>
  <si>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</si>
  <si>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</si>
  <si>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</si>
  <si>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</si>
  <si>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</si>
  <si>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</si>
  <si>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</si>
  <si>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</si>
  <si>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</si>
  <si>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</si>
  <si>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</si>
  <si>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</si>
  <si>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</si>
  <si>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</si>
  <si>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</si>
  <si>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</si>
  <si>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</si>
  <si>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</si>
  <si>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</si>
  <si>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</si>
  <si>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</si>
  <si>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</si>
  <si>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</si>
  <si>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</si>
  <si>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</si>
  <si>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</si>
  <si>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</si>
  <si>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</si>
  <si>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</si>
  <si>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</si>
  <si>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</si>
  <si>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</si>
  <si>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</si>
  <si>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</si>
  <si>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</si>
  <si>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</si>
  <si>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</si>
  <si>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</si>
  <si>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</si>
  <si>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</si>
  <si>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</si>
  <si>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</si>
  <si>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</si>
  <si>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</si>
  <si>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</si>
  <si>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</si>
  <si>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</si>
  <si>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</si>
  <si>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</si>
  <si>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</si>
  <si>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</si>
  <si>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</si>
  <si>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</si>
  <si>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</si>
  <si>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</si>
  <si>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</si>
  <si>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</si>
  <si>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</si>
  <si>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</si>
  <si>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</si>
  <si>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</si>
  <si>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</si>
  <si>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</si>
  <si>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</si>
  <si>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</si>
  <si>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</si>
  <si>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</si>
  <si>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</si>
  <si>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</si>
  <si>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</si>
  <si>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</si>
  <si>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</si>
  <si>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</si>
  <si>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</si>
  <si>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</si>
  <si>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</si>
  <si>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</si>
  <si>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</si>
  <si>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</si>
  <si>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</si>
  <si>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</si>
  <si>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</si>
  <si>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</si>
  <si>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</si>
  <si>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</si>
  <si>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</si>
  <si>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</si>
  <si>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</si>
  <si>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</si>
  <si>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</si>
  <si>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</si>
  <si>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</si>
  <si>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</si>
  <si>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</si>
  <si>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</si>
  <si>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</si>
  <si>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</si>
  <si>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</si>
  <si>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</si>
  <si>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</si>
  <si>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</si>
  <si>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</si>
  <si>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</si>
  <si>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</si>
  <si>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</si>
  <si>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</si>
  <si>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</si>
  <si>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</si>
  <si>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</si>
  <si>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</si>
  <si>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</si>
  <si>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</si>
  <si>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</si>
  <si>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</si>
  <si>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</si>
  <si>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</si>
  <si>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</si>
  <si>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</si>
  <si>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</si>
  <si>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</si>
  <si>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</si>
  <si>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</si>
  <si>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</si>
  <si>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</si>
  <si>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</si>
  <si>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</si>
  <si>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</si>
  <si>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</si>
  <si>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</si>
  <si>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</si>
  <si>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</si>
  <si>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</si>
  <si>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</si>
  <si>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</si>
  <si>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</si>
  <si>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</si>
  <si>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</si>
  <si>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</si>
  <si>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</si>
  <si>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</si>
  <si>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</si>
  <si>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</si>
  <si>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</si>
  <si>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</si>
  <si>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</si>
  <si>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</si>
  <si>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</si>
  <si>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</si>
  <si>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</si>
  <si>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</si>
  <si>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</si>
  <si>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</si>
  <si>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</si>
  <si>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</si>
  <si>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</si>
  <si>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</si>
  <si>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</si>
  <si>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</si>
  <si>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</si>
  <si>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</si>
  <si>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</si>
  <si>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</si>
  <si>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</si>
  <si>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</si>
  <si>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</si>
  <si>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</si>
  <si>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</si>
  <si>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</si>
  <si>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</si>
  <si>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</si>
  <si>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</si>
  <si>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</si>
  <si>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</si>
  <si>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</si>
  <si>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</si>
  <si>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</si>
  <si>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</si>
  <si>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</si>
  <si>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</si>
  <si>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</si>
  <si>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</si>
  <si>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</si>
  <si>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</si>
  <si>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</si>
  <si>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</si>
  <si>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</si>
  <si>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</si>
  <si>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</si>
  <si>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</si>
  <si>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</si>
  <si>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</si>
  <si>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</si>
  <si>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</si>
  <si>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</si>
  <si>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</si>
  <si>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</si>
  <si>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</si>
  <si>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</si>
  <si>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</si>
  <si>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</si>
  <si>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</si>
  <si>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</si>
  <si>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</si>
  <si>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</si>
  <si>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</si>
  <si>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</si>
  <si>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</si>
  <si>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</si>
  <si>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</si>
  <si>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</si>
  <si>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</si>
  <si>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</si>
  <si>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</si>
  <si>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</si>
  <si>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</si>
  <si>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</si>
  <si>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</si>
  <si>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</si>
  <si>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</si>
  <si>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</si>
  <si>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</si>
  <si>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</si>
  <si>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</si>
  <si>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</si>
  <si>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</si>
  <si>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</si>
  <si>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</si>
  <si>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</si>
  <si>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</si>
  <si>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</si>
  <si>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</si>
  <si>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</si>
  <si>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</si>
  <si>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</si>
  <si>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</si>
  <si>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</si>
  <si>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</si>
  <si>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</si>
  <si>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</si>
  <si>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</si>
  <si>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</si>
  <si>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</si>
  <si>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</si>
  <si>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</si>
  <si>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</si>
  <si>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</si>
  <si>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</si>
  <si>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</si>
  <si>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</si>
  <si>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</si>
  <si>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</si>
  <si>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</si>
  <si>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</si>
  <si>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</si>
  <si>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</si>
  <si>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</si>
  <si>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</si>
  <si>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</si>
  <si>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</si>
  <si>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</si>
  <si>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</si>
  <si>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</si>
  <si>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</si>
  <si>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</si>
  <si>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</si>
  <si>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</si>
  <si>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</si>
  <si>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</si>
  <si>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</si>
  <si>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</si>
  <si>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</si>
  <si>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</si>
  <si>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</si>
  <si>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</si>
  <si>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</si>
  <si>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</si>
  <si>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</si>
  <si>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</si>
  <si>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</si>
  <si>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</si>
  <si>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</si>
  <si>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</si>
  <si>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</si>
  <si>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</si>
  <si>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</si>
  <si>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</si>
  <si>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</si>
  <si>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</si>
  <si>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</si>
  <si>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</si>
  <si>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</si>
  <si>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</si>
  <si>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</si>
  <si>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</si>
  <si>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</si>
  <si>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</si>
  <si>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</si>
  <si>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</si>
  <si>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</si>
  <si>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</si>
  <si>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</si>
  <si>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</si>
  <si>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</si>
  <si>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</si>
  <si>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</si>
  <si>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</si>
  <si>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</si>
  <si>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</si>
  <si>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</si>
  <si>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</si>
  <si>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</si>
  <si>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</si>
  <si>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</si>
  <si>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</si>
  <si>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</si>
  <si>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</si>
  <si>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</si>
  <si>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</si>
  <si>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</si>
  <si>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</si>
  <si>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</si>
  <si>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</si>
  <si>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</si>
  <si>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</si>
  <si>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</si>
  <si>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</si>
  <si>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</si>
  <si>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</si>
  <si>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</si>
  <si>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</si>
  <si>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</si>
  <si>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</si>
  <si>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</si>
  <si>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</si>
  <si>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</si>
  <si>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</si>
  <si>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</si>
  <si>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</si>
  <si>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</si>
  <si>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</si>
  <si>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</si>
  <si>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</si>
  <si>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</si>
  <si>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</si>
  <si>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</si>
  <si>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</si>
  <si>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</si>
  <si>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</si>
  <si>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</si>
  <si>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</si>
  <si>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</si>
  <si>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</si>
  <si>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</si>
  <si>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</si>
  <si>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</si>
  <si>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</si>
  <si>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</si>
  <si>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</si>
  <si>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</si>
  <si>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</si>
  <si>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</si>
  <si>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</si>
  <si>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</si>
  <si>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</si>
  <si>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</si>
  <si>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</si>
  <si>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</si>
  <si>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</si>
  <si>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</si>
  <si>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</si>
  <si>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</si>
  <si>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</si>
  <si>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</si>
  <si>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</si>
  <si>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</si>
  <si>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</si>
  <si>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</si>
  <si>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</si>
  <si>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</si>
  <si>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</si>
  <si>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</si>
  <si>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</si>
  <si>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</si>
  <si>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</si>
  <si>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</si>
  <si>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</si>
  <si>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</si>
  <si>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</si>
  <si>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</si>
  <si>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</si>
  <si>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</si>
  <si>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</si>
  <si>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</si>
  <si>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</si>
  <si>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</si>
  <si>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</si>
  <si>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</si>
  <si>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</si>
  <si>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</si>
  <si>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</si>
  <si>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</si>
  <si>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</si>
  <si>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</si>
  <si>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</si>
  <si>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</si>
  <si>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</si>
  <si>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</si>
  <si>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</si>
  <si>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</si>
  <si>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</si>
  <si>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</si>
  <si>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</si>
  <si>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</si>
  <si>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</si>
  <si>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</si>
  <si>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</si>
  <si>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</si>
  <si>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</si>
  <si>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</si>
  <si>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</si>
  <si>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</si>
  <si>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</si>
  <si>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</si>
  <si>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</si>
  <si>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</si>
  <si>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</si>
  <si>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</si>
  <si>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</si>
  <si>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</si>
  <si>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</si>
  <si>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</si>
  <si>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</si>
  <si>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</si>
  <si>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</si>
  <si>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</si>
  <si>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</si>
  <si>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</si>
  <si>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</si>
  <si>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</si>
  <si>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</si>
  <si>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</si>
  <si>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</si>
  <si>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</si>
  <si>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</si>
  <si>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</si>
  <si>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</si>
  <si>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</si>
  <si>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</si>
  <si>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</si>
  <si>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</si>
  <si>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</si>
  <si>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</si>
  <si>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</si>
  <si>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</si>
  <si>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</si>
  <si>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</si>
  <si>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</si>
  <si>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</si>
  <si>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</si>
  <si>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</si>
  <si>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</si>
  <si>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</si>
  <si>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</si>
  <si>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</si>
  <si>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</si>
  <si>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</si>
  <si>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</si>
  <si>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</si>
  <si>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</si>
  <si>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</si>
  <si>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</si>
  <si>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</si>
  <si>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</si>
  <si>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</si>
  <si>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</si>
  <si>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</si>
  <si>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</si>
  <si>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</si>
  <si>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</si>
  <si>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</si>
  <si>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</si>
  <si>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</si>
  <si>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</si>
  <si>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</si>
  <si>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</si>
  <si>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</si>
  <si>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</si>
  <si>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</si>
  <si>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</si>
  <si>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</si>
  <si>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</si>
  <si>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</si>
  <si>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</si>
  <si>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</si>
  <si>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</si>
  <si>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</si>
  <si>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</si>
  <si>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</si>
  <si>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</si>
  <si>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</si>
  <si>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</si>
  <si>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</si>
  <si>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</si>
  <si>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</si>
  <si>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</si>
  <si>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</si>
  <si>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</si>
  <si>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</si>
  <si>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</si>
  <si>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</si>
  <si>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</si>
  <si>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</si>
  <si>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</si>
  <si>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</si>
  <si>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</si>
  <si>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</si>
  <si>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</si>
  <si>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</si>
  <si>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</si>
  <si>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</si>
  <si>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</si>
  <si>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</si>
  <si>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</si>
  <si>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</si>
  <si>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</si>
  <si>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</si>
  <si>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</si>
  <si>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</si>
  <si>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</si>
  <si>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</si>
  <si>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</si>
  <si>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</si>
  <si>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</si>
  <si>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</si>
  <si>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</si>
  <si>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</si>
  <si>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</si>
  <si>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</si>
  <si>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</si>
  <si>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</si>
  <si>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</si>
  <si>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</si>
  <si>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</si>
  <si>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</si>
  <si>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</si>
  <si>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</si>
  <si>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</si>
  <si>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</si>
  <si>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</si>
  <si>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</si>
  <si>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</si>
  <si>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</si>
  <si>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</si>
  <si>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</si>
  <si>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</si>
  <si>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</si>
  <si>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</si>
  <si>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</si>
  <si>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</si>
  <si>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</si>
  <si>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</si>
  <si>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</si>
  <si>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</si>
  <si>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</si>
  <si>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</si>
  <si>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</si>
  <si>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</si>
  <si>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</si>
  <si>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</si>
  <si>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</si>
  <si>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</si>
  <si>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</si>
  <si>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</si>
  <si>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</si>
  <si>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</si>
  <si>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</si>
  <si>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</si>
  <si>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</si>
  <si>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</si>
  <si>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</si>
  <si>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</si>
  <si>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</si>
  <si>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</si>
  <si>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</si>
  <si>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</si>
  <si>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</si>
  <si>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</si>
  <si>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</si>
  <si>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</si>
  <si>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</si>
  <si>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</si>
  <si>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</si>
  <si>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</si>
  <si>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</si>
  <si>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</si>
  <si>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</si>
  <si>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</si>
  <si>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</si>
  <si>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</si>
  <si>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</si>
  <si>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</si>
  <si>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</si>
  <si>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</si>
  <si>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</si>
  <si>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</si>
  <si>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</si>
  <si>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</si>
  <si>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</si>
  <si>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</si>
  <si>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</si>
  <si>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</si>
  <si>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</si>
  <si>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</si>
  <si>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</si>
  <si>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</si>
  <si>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</si>
  <si>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</si>
  <si>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</si>
  <si>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</si>
  <si>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</si>
  <si>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</si>
  <si>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</si>
  <si>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</si>
  <si>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</si>
  <si>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</si>
  <si>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</si>
  <si>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</si>
  <si>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</si>
  <si>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</si>
  <si>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</si>
  <si>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</si>
  <si>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</si>
  <si>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</si>
  <si>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</si>
  <si>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</si>
  <si>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</si>
  <si>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</si>
  <si>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</si>
  <si>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</si>
  <si>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</si>
  <si>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</si>
  <si>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</si>
  <si>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</si>
  <si>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</si>
  <si>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</si>
  <si>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</si>
  <si>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</si>
  <si>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</si>
  <si>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</si>
  <si>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</si>
  <si>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</si>
  <si>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</si>
  <si>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</si>
  <si>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</si>
  <si>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</si>
  <si>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</si>
  <si>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</si>
  <si>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</si>
  <si>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</si>
  <si>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</si>
  <si>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</si>
  <si>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</si>
  <si>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</si>
  <si>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</si>
  <si>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</si>
  <si>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</si>
  <si>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</si>
  <si>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</si>
  <si>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</si>
  <si>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</si>
  <si>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</si>
  <si>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</si>
  <si>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</si>
  <si>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</si>
  <si>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</si>
  <si>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</si>
  <si>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</si>
  <si>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</si>
  <si>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</si>
  <si>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</si>
  <si>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</si>
  <si>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</si>
  <si>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</si>
  <si>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</si>
  <si>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</si>
  <si>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</si>
  <si>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</si>
  <si>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</si>
  <si>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</si>
  <si>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</si>
  <si>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</si>
  <si>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</si>
  <si>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</si>
  <si>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</si>
  <si>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</si>
  <si>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</si>
  <si>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</si>
  <si>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</si>
  <si>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</si>
  <si>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</si>
  <si>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</si>
  <si>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</si>
  <si>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</si>
  <si>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</si>
  <si>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</si>
  <si>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</si>
  <si>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</si>
  <si>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</si>
  <si>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</si>
  <si>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</si>
  <si>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</si>
  <si>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</si>
  <si>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</si>
  <si>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</si>
  <si>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</si>
  <si>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</si>
  <si>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</si>
  <si>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</si>
  <si>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</si>
  <si>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</si>
  <si>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</si>
  <si>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</si>
  <si>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</si>
  <si>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</si>
  <si>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</si>
  <si>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</si>
  <si>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</si>
  <si>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</si>
  <si>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</si>
  <si>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</si>
  <si>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</si>
  <si>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</si>
  <si>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</si>
  <si>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</si>
  <si>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</si>
  <si>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</si>
  <si>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</si>
  <si>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</si>
  <si>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</si>
  <si>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</si>
  <si>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</si>
  <si>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</si>
  <si>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</si>
  <si>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</si>
  <si>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</si>
  <si>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</si>
  <si>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</si>
  <si>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</si>
  <si>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</si>
  <si>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</si>
  <si>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</si>
  <si>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</si>
  <si>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</si>
  <si>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</si>
  <si>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</si>
  <si>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</si>
  <si>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</si>
  <si>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</si>
  <si>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</si>
  <si>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</si>
  <si>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</si>
  <si>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</si>
  <si>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</si>
  <si>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</si>
  <si>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</si>
  <si>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</si>
  <si>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</si>
  <si>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</si>
  <si>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</si>
  <si>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</si>
  <si>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</si>
  <si>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</si>
  <si>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</si>
  <si>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</si>
  <si>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</si>
  <si>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</si>
  <si>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</si>
  <si>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</si>
  <si>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</si>
  <si>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</si>
  <si>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</si>
  <si>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</si>
  <si>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</si>
  <si>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</si>
  <si>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</si>
  <si>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</si>
  <si>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</si>
  <si>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</si>
  <si>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</si>
  <si>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</si>
  <si>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</si>
  <si>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</si>
  <si>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</si>
  <si>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</si>
  <si>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</si>
  <si>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</si>
  <si>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</si>
  <si>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</si>
  <si>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</si>
  <si>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</si>
  <si>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</si>
  <si>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</si>
  <si>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</si>
  <si>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</si>
  <si>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</si>
  <si>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</si>
  <si>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</si>
  <si>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</si>
  <si>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</si>
  <si>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</si>
  <si>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</si>
  <si>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</si>
  <si>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</si>
  <si>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</si>
  <si>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</si>
  <si>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</si>
  <si>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</si>
  <si>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</si>
  <si>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</si>
  <si>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</si>
  <si>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</si>
  <si>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</si>
  <si>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</si>
  <si>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</si>
  <si>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</si>
  <si>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</si>
  <si>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</si>
  <si>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</si>
  <si>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</si>
  <si>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</si>
  <si>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</si>
  <si>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</si>
  <si>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</si>
  <si>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</si>
  <si>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</si>
  <si>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</si>
  <si>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</si>
  <si>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</si>
  <si>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</si>
  <si>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</si>
  <si>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</si>
  <si>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</si>
  <si>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</si>
  <si>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</si>
  <si>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</si>
  <si>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</si>
  <si>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</si>
  <si>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</si>
  <si>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</si>
  <si>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</si>
  <si>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</si>
  <si>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</si>
  <si>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</si>
  <si>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</si>
  <si>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</si>
  <si>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</si>
  <si>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</si>
  <si>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</si>
  <si>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</si>
  <si>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</si>
  <si>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</si>
  <si>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</si>
  <si>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</si>
  <si>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</si>
  <si>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</si>
  <si>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</si>
  <si>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</si>
  <si>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</si>
  <si>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</si>
  <si>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</si>
  <si>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</si>
  <si>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</si>
  <si>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</si>
  <si>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</si>
  <si>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</si>
  <si>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</si>
  <si>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</si>
  <si>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</si>
  <si>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</si>
  <si>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</si>
  <si>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</si>
  <si>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</si>
  <si>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</si>
  <si>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</si>
  <si>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</si>
  <si>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</si>
  <si>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</si>
  <si>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</si>
  <si>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</si>
  <si>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</si>
  <si>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</si>
  <si>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</si>
  <si>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</si>
  <si>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</si>
  <si>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</si>
  <si>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</si>
  <si>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</si>
  <si>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</si>
  <si>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</si>
  <si>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</si>
  <si>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</si>
  <si>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</si>
  <si>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</si>
  <si>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</si>
  <si>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</si>
  <si>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</si>
  <si>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</si>
  <si>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</si>
  <si>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</si>
  <si>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</si>
  <si>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</si>
  <si>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</si>
  <si>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</si>
  <si>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</si>
  <si>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</si>
  <si>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</si>
  <si>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</si>
  <si>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</si>
  <si>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</si>
  <si>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</si>
  <si>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</si>
  <si>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</si>
  <si>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</si>
  <si>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</si>
  <si>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</si>
  <si>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</si>
  <si>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</si>
  <si>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</si>
  <si>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</si>
  <si>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</si>
  <si>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</si>
  <si>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</si>
  <si>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</si>
  <si>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</si>
  <si>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</si>
  <si>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</si>
  <si>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</si>
  <si>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</si>
  <si>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</si>
  <si>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</si>
  <si>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</si>
  <si>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</si>
  <si>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</si>
  <si>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</si>
  <si>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</si>
  <si>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</si>
  <si>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</si>
  <si>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</si>
  <si>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</si>
  <si>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</si>
  <si>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</si>
  <si>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</si>
  <si>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</si>
  <si>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</si>
  <si>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</si>
  <si>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</si>
  <si>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</si>
  <si>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</si>
  <si>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</si>
  <si>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</si>
  <si>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</si>
  <si>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</si>
  <si>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</si>
  <si>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</si>
  <si>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</si>
  <si>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</si>
  <si>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</si>
  <si>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</si>
  <si>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</si>
  <si>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</si>
  <si>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</si>
  <si>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</si>
  <si>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</si>
  <si>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</si>
  <si>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</si>
  <si>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</si>
  <si>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</si>
  <si>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</si>
  <si>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</si>
  <si>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</si>
  <si>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</si>
  <si>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</si>
  <si>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</si>
  <si>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</si>
  <si>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</si>
  <si>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</si>
  <si>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</si>
  <si>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</si>
  <si>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</si>
  <si>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</si>
  <si>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</si>
  <si>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</si>
  <si>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</si>
  <si>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</si>
  <si>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</si>
  <si>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</si>
  <si>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</si>
  <si>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</si>
  <si>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</si>
  <si>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</si>
  <si>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</si>
  <si>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</si>
  <si>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</si>
  <si>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</si>
  <si>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</si>
  <si>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</si>
  <si>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</si>
  <si>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</si>
  <si>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</si>
  <si>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</si>
  <si>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</si>
  <si>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</si>
  <si>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</si>
  <si>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</si>
  <si>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</si>
  <si>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</si>
  <si>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</si>
  <si>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</si>
  <si>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</si>
  <si>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</si>
  <si>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</si>
  <si>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</si>
  <si>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</si>
  <si>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</si>
  <si>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</si>
  <si>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</si>
  <si>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</si>
  <si>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</si>
  <si>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</si>
  <si>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</si>
  <si>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</si>
  <si>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</si>
  <si>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</si>
  <si>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</si>
  <si>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</si>
  <si>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</si>
  <si>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</si>
  <si>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</si>
  <si>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</si>
  <si>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</si>
  <si>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</si>
  <si>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</si>
  <si>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</si>
  <si>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</si>
  <si>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</si>
  <si>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</si>
  <si>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</si>
  <si>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</si>
  <si>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</si>
  <si>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</si>
  <si>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</si>
  <si>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</si>
  <si>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</si>
  <si>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</si>
  <si>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</si>
  <si>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</si>
  <si>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</si>
  <si>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</si>
  <si>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</si>
  <si>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</si>
  <si>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</si>
  <si>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</si>
  <si>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</si>
  <si>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</si>
  <si>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</si>
  <si>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</si>
  <si>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</si>
  <si>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</si>
  <si>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</si>
  <si>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</si>
  <si>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</si>
  <si>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</si>
  <si>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</si>
  <si>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</si>
  <si>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</si>
  <si>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</si>
  <si>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</si>
  <si>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</si>
  <si>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</si>
  <si>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</si>
  <si>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</si>
  <si>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</si>
  <si>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</si>
  <si>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</si>
  <si>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</si>
  <si>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</si>
  <si>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</si>
  <si>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</si>
  <si>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</si>
  <si>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</si>
  <si>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</si>
  <si>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</si>
  <si>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</si>
  <si>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</si>
  <si>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</si>
  <si>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</si>
  <si>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</si>
  <si>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</si>
  <si>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</si>
  <si>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</si>
  <si>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</si>
  <si>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</si>
  <si>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</si>
  <si>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</si>
  <si>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</si>
  <si>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</si>
  <si>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</si>
  <si>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</si>
  <si>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</si>
  <si>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</si>
  <si>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</si>
  <si>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</si>
  <si>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</si>
  <si>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</si>
  <si>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</si>
  <si>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</si>
  <si>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</si>
  <si>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</si>
  <si>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</si>
  <si>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</si>
  <si>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</si>
  <si>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</si>
  <si>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</si>
  <si>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</si>
  <si>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</si>
  <si>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</si>
  <si>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</si>
  <si>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</si>
  <si>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</si>
  <si>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</si>
  <si>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</si>
  <si>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</si>
  <si>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</si>
  <si>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</si>
  <si>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</si>
  <si>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</si>
  <si>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</si>
  <si>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</si>
  <si>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</si>
  <si>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</si>
  <si>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</si>
  <si>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</si>
  <si>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</si>
  <si>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</si>
  <si>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</si>
  <si>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</si>
  <si>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</si>
  <si>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</si>
  <si>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</si>
  <si>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</si>
  <si>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</si>
  <si>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</si>
  <si>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</si>
  <si>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</si>
  <si>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</si>
  <si>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</si>
  <si>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</si>
  <si>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</si>
  <si>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</si>
  <si>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</si>
  <si>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</si>
  <si>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</si>
  <si>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</si>
  <si>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</si>
  <si>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</si>
  <si>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</si>
  <si>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</si>
  <si>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</si>
  <si>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</si>
  <si>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</si>
  <si>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</si>
  <si>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</si>
  <si>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</si>
  <si>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</si>
  <si>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</si>
  <si>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</si>
  <si>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</si>
  <si>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</si>
  <si>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</si>
  <si>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</si>
  <si>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</si>
  <si>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</si>
  <si>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</si>
  <si>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</si>
  <si>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</si>
  <si>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</si>
  <si>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</si>
  <si>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</si>
  <si>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</si>
  <si>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</si>
  <si>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</si>
  <si>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</si>
  <si>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</si>
  <si>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</si>
  <si>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</si>
  <si>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</si>
  <si>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</si>
  <si>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</si>
  <si>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</si>
  <si>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</si>
  <si>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</si>
  <si>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</si>
  <si>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</si>
  <si>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</si>
  <si>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</si>
  <si>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</si>
  <si>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</si>
  <si>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</si>
  <si>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</si>
  <si>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</si>
  <si>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</si>
  <si>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</si>
  <si>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</si>
  <si>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</si>
  <si>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</si>
  <si>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</si>
  <si>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</si>
  <si>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</si>
  <si>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</si>
  <si>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</si>
  <si>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</si>
  <si>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</si>
  <si>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</si>
  <si>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</si>
  <si>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</si>
  <si>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</si>
  <si>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</si>
  <si>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</si>
  <si>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</si>
  <si>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</si>
  <si>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</si>
  <si>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</si>
  <si>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</si>
  <si>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</si>
  <si>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</si>
  <si>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</si>
  <si>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</si>
  <si>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</si>
  <si>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</si>
  <si>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</si>
  <si>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</si>
  <si>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</si>
  <si>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</si>
  <si>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</si>
  <si>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</si>
  <si>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</si>
  <si>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</si>
  <si>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</si>
  <si>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</si>
  <si>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</si>
  <si>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</si>
  <si>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</si>
  <si>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</si>
  <si>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</si>
  <si>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</si>
  <si>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</si>
  <si>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</si>
  <si>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</si>
  <si>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</si>
  <si>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</si>
  <si>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</si>
  <si>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</si>
  <si>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</si>
  <si>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</si>
  <si>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</si>
  <si>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</si>
  <si>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</si>
  <si>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</si>
  <si>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</si>
  <si>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</si>
  <si>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</si>
  <si>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</si>
  <si>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</si>
  <si>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</si>
  <si>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</si>
  <si>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</si>
  <si>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</si>
  <si>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</si>
  <si>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</si>
  <si>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</si>
  <si>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</si>
  <si>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</si>
  <si>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</si>
  <si>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</si>
  <si>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</si>
  <si>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</si>
  <si>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</si>
  <si>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</si>
  <si>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</si>
  <si>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</si>
  <si>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</si>
  <si>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</si>
  <si>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</si>
  <si>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</si>
  <si>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</si>
  <si>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</si>
  <si>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</si>
  <si>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</si>
  <si>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</si>
  <si>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</si>
  <si>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</si>
  <si>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</si>
  <si>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</si>
  <si>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</si>
  <si>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</si>
  <si>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</si>
  <si>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</si>
  <si>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</si>
  <si>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</si>
  <si>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</si>
  <si>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</si>
  <si>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</si>
  <si>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</si>
  <si>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</si>
  <si>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</si>
  <si>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</si>
  <si>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</si>
  <si>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</si>
  <si>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</si>
  <si>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</si>
  <si>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</si>
  <si>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</si>
  <si>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</si>
  <si>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</si>
  <si>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</si>
  <si>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</si>
  <si>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</si>
  <si>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</si>
  <si>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</si>
  <si>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</si>
  <si>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</si>
  <si>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</si>
  <si>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</si>
  <si>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</si>
  <si>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</si>
  <si>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</si>
  <si>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</si>
  <si>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</si>
  <si>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</si>
  <si>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</si>
  <si>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</si>
  <si>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</si>
  <si>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</si>
  <si>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</si>
  <si>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</si>
  <si>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</si>
  <si>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</si>
  <si>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</si>
  <si>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</si>
  <si>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</si>
  <si>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</si>
  <si>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</si>
  <si>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</si>
  <si>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</si>
  <si>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</si>
  <si>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</si>
  <si>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</si>
  <si>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</si>
  <si>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</si>
  <si>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</si>
  <si>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</si>
  <si>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</si>
  <si>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</si>
  <si>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</si>
  <si>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</si>
  <si>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</si>
  <si>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</si>
  <si>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</si>
  <si>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</si>
  <si>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</si>
  <si>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</si>
  <si>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</si>
  <si>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</si>
  <si>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</si>
  <si>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</si>
  <si>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</si>
  <si>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</si>
  <si>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</si>
  <si>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</si>
  <si>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</si>
  <si>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</si>
  <si>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</si>
  <si>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</si>
  <si>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</si>
  <si>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</si>
  <si>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</si>
  <si>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</si>
  <si>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</si>
  <si>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</si>
  <si>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</si>
  <si>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</si>
  <si>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</si>
  <si>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</si>
  <si>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</si>
  <si>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</si>
  <si>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</si>
  <si>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</si>
  <si>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</si>
  <si>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</si>
  <si>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</si>
  <si>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</si>
  <si>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</si>
  <si>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</si>
  <si>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</si>
  <si>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</si>
  <si>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</si>
  <si>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</si>
  <si>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</si>
  <si>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</si>
  <si>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</si>
  <si>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</si>
  <si>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</si>
  <si>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</si>
  <si>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</si>
  <si>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</si>
  <si>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</si>
  <si>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</si>
  <si>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</si>
  <si>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</si>
  <si>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</si>
  <si>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</si>
  <si>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</si>
  <si>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</si>
  <si>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</si>
  <si>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</si>
  <si>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</si>
  <si>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</si>
  <si>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</si>
  <si>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</si>
  <si>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</si>
  <si>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</si>
  <si>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</si>
  <si>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</si>
  <si>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</si>
  <si>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</si>
  <si>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</si>
  <si>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</si>
  <si>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</si>
  <si>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</si>
  <si>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</si>
  <si>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</si>
  <si>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</si>
  <si>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</si>
  <si>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</si>
  <si>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</si>
  <si>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</si>
  <si>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</si>
  <si>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</si>
  <si>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</si>
  <si>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</si>
  <si>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</si>
  <si>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</si>
  <si>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</si>
  <si>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</si>
  <si>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</si>
  <si>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</si>
  <si>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</si>
  <si>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</si>
  <si>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</si>
  <si>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</si>
  <si>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</si>
  <si>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</si>
  <si>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</si>
  <si>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</si>
  <si>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</si>
  <si>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</si>
  <si>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</si>
  <si>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</si>
  <si>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</si>
  <si>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</si>
  <si>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</si>
  <si>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</si>
  <si>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</si>
  <si>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</si>
  <si>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</si>
  <si>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</si>
  <si>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</si>
  <si>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</si>
  <si>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</si>
  <si>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</si>
  <si>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</si>
  <si>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</si>
  <si>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</si>
  <si>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</si>
  <si>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</si>
  <si>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</si>
  <si>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</si>
  <si>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</si>
  <si>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</si>
  <si>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</si>
  <si>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</si>
  <si>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</si>
  <si>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</si>
  <si>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</si>
  <si>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</si>
  <si>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</si>
  <si>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</si>
  <si>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</si>
  <si>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</si>
  <si>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</si>
  <si>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</si>
  <si>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</si>
  <si>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</si>
  <si>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</si>
  <si>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</si>
  <si>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</si>
  <si>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</si>
  <si>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</si>
  <si>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</si>
  <si>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</si>
  <si>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</si>
  <si>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</si>
  <si>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</si>
  <si>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</si>
  <si>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</si>
  <si>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</si>
  <si>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</si>
  <si>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</si>
  <si>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</si>
  <si>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</si>
  <si>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</si>
  <si>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</si>
  <si>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</si>
  <si>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</si>
  <si>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</si>
  <si>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</si>
  <si>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</si>
  <si>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</si>
  <si>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</si>
  <si>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</si>
  <si>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</si>
  <si>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</si>
  <si>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</si>
  <si>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</si>
  <si>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</si>
  <si>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</si>
  <si>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</si>
  <si>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</si>
  <si>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</si>
  <si>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</si>
  <si>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</si>
  <si>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</si>
  <si>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</si>
  <si>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</si>
  <si>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</si>
  <si>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</si>
  <si>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</si>
  <si>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</si>
  <si>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</si>
  <si>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</si>
  <si>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</si>
  <si>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</si>
  <si>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</si>
  <si>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</si>
  <si>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</si>
  <si>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</si>
  <si>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</si>
  <si>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</si>
  <si>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</si>
  <si>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</si>
  <si>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</si>
  <si>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</si>
  <si>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</si>
  <si>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</si>
  <si>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</si>
  <si>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</si>
  <si>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</si>
  <si>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</si>
  <si>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</si>
  <si>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</si>
  <si>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</si>
  <si>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</si>
  <si>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</si>
  <si>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</si>
  <si>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</si>
  <si>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</si>
  <si>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</si>
  <si>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</si>
  <si>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</si>
  <si>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</si>
  <si>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</si>
  <si>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</si>
  <si>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</si>
  <si>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</si>
  <si>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</si>
  <si>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</si>
  <si>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</si>
  <si>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</si>
  <si>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</si>
  <si>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</si>
  <si>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</si>
  <si>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</si>
  <si>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</si>
  <si>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</si>
  <si>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</si>
  <si>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</si>
  <si>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</si>
  <si>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</si>
  <si>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</si>
  <si>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</si>
  <si>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</si>
  <si>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</si>
  <si>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</si>
  <si>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</si>
  <si>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</si>
  <si>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</si>
  <si>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</si>
  <si>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</si>
  <si>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</si>
  <si>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</si>
  <si>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</si>
  <si>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</si>
  <si>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</si>
  <si>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</si>
  <si>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</si>
  <si>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</si>
  <si>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</si>
  <si>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</si>
  <si>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</si>
  <si>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</si>
  <si>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</si>
  <si>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</si>
  <si>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</si>
  <si>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</si>
  <si>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</si>
  <si>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</si>
  <si>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</si>
  <si>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</si>
  <si>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</si>
  <si>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</si>
  <si>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</si>
  <si>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</si>
  <si>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</si>
  <si>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</si>
  <si>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</si>
  <si>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</si>
  <si>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</si>
  <si>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</si>
  <si>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</si>
  <si>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</si>
  <si>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</si>
  <si>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</si>
  <si>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</si>
  <si>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</si>
  <si>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</si>
  <si>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</si>
  <si>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</si>
  <si>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</si>
  <si>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</si>
  <si>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</si>
  <si>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</si>
  <si>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</si>
  <si>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</si>
  <si>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</si>
  <si>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</si>
  <si>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</si>
  <si>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</si>
  <si>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</si>
  <si>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</si>
  <si>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</si>
  <si>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</si>
  <si>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</si>
  <si>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</si>
  <si>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</si>
  <si>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</si>
  <si>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</si>
  <si>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</si>
  <si>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</si>
  <si>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</si>
  <si>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</si>
  <si>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</si>
  <si>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</si>
  <si>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</si>
  <si>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</si>
  <si>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</si>
  <si>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</si>
  <si>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</si>
  <si>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</si>
  <si>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</si>
  <si>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</si>
  <si>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</si>
  <si>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</si>
  <si>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</si>
  <si>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</si>
  <si>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</si>
  <si>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</si>
  <si>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</si>
  <si>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</si>
  <si>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</si>
  <si>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</si>
  <si>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</si>
  <si>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</si>
  <si>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</si>
  <si>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</si>
  <si>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</si>
  <si>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</si>
  <si>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</si>
  <si>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</si>
  <si>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</si>
  <si>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</si>
  <si>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</si>
  <si>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</si>
  <si>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</si>
  <si>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</si>
  <si>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</si>
  <si>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</si>
  <si>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</si>
  <si>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</si>
  <si>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</si>
  <si>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</si>
  <si>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</si>
  <si>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</si>
  <si>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</si>
  <si>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</si>
  <si>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</si>
  <si>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</si>
  <si>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</si>
  <si>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</si>
  <si>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</si>
  <si>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</si>
  <si>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</si>
  <si>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</si>
  <si>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</si>
  <si>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</si>
  <si>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</si>
  <si>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</si>
  <si>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</si>
  <si>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</si>
  <si>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</si>
  <si>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</si>
  <si>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</si>
  <si>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</si>
  <si>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</si>
  <si>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</si>
  <si>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</si>
  <si>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</si>
  <si>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</si>
  <si>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</si>
  <si>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</si>
  <si>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</si>
  <si>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</si>
  <si>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</si>
  <si>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</si>
  <si>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</si>
  <si>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</si>
  <si>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</si>
  <si>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</si>
  <si>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</si>
  <si>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</si>
  <si>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</si>
  <si>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</si>
  <si>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</si>
  <si>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</si>
  <si>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</si>
  <si>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</si>
  <si>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</si>
  <si>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</si>
  <si>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</si>
  <si>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</si>
  <si>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</si>
  <si>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</si>
  <si>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</si>
  <si>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</si>
  <si>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</si>
  <si>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</si>
  <si>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</si>
  <si>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</si>
  <si>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</si>
  <si>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</si>
  <si>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</si>
  <si>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</si>
  <si>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</si>
  <si>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</si>
  <si>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</si>
  <si>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</si>
  <si>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</si>
  <si>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</si>
  <si>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</si>
  <si>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</si>
  <si>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</si>
  <si>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</si>
  <si>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</si>
  <si>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</si>
  <si>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</si>
  <si>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</si>
  <si>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</si>
  <si>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</si>
  <si>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</si>
  <si>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</si>
  <si>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</si>
  <si>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</si>
  <si>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</si>
  <si>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</si>
  <si>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</si>
  <si>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</si>
  <si>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</si>
  <si>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</si>
  <si>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</si>
  <si>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</si>
  <si>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</si>
  <si>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</si>
  <si>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</si>
  <si>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</si>
  <si>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</si>
  <si>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</si>
  <si>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</si>
  <si>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</si>
  <si>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</si>
  <si>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</si>
  <si>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</si>
  <si>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</si>
  <si>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</si>
  <si>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</si>
  <si>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</si>
  <si>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</si>
  <si>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</si>
  <si>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</si>
  <si>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</si>
  <si>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</si>
  <si>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</si>
  <si>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</si>
  <si>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</si>
  <si>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</si>
  <si>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</si>
  <si>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</si>
  <si>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</si>
  <si>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</si>
  <si>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</si>
  <si>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</si>
  <si>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</si>
  <si>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</si>
  <si>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</si>
  <si>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</si>
  <si>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</si>
  <si>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</si>
  <si>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</si>
  <si>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</si>
  <si>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</si>
  <si>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</si>
  <si>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</si>
  <si>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</si>
  <si>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</si>
  <si>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</si>
  <si>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</si>
  <si>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</si>
  <si>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</si>
  <si>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</si>
  <si>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</si>
  <si>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</si>
  <si>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</si>
  <si>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</si>
  <si>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</si>
  <si>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</si>
  <si>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</si>
  <si>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</si>
  <si>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</si>
  <si>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</si>
  <si>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</si>
  <si>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</si>
  <si>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</si>
  <si>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</si>
  <si>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</si>
  <si>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</si>
  <si>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</si>
  <si>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</si>
  <si>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</si>
  <si>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</si>
  <si>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</si>
  <si>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</si>
  <si>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</si>
  <si>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</si>
  <si>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</si>
  <si>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</si>
  <si>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</si>
  <si>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</si>
  <si>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</si>
  <si>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</si>
  <si>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</si>
  <si>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</si>
  <si>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</si>
  <si>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</si>
  <si>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</si>
  <si>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</si>
  <si>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</si>
  <si>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</si>
  <si>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</si>
  <si>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</si>
  <si>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</si>
  <si>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</si>
  <si>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</si>
  <si>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</si>
  <si>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</si>
  <si>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</si>
  <si>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</si>
  <si>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</si>
  <si>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</si>
  <si>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</si>
  <si>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</si>
  <si>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</si>
  <si>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</si>
  <si>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</si>
  <si>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</si>
  <si>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</si>
  <si>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</si>
  <si>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</si>
  <si>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</si>
  <si>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</si>
  <si>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</si>
  <si>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</si>
  <si>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</si>
  <si>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</si>
  <si>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</si>
  <si>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</si>
  <si>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</si>
  <si>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</si>
  <si>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</si>
  <si>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</si>
  <si>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</si>
  <si>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</si>
  <si>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</si>
  <si>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</si>
  <si>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</si>
  <si>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</si>
  <si>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</si>
  <si>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</si>
  <si>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</si>
  <si>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</si>
  <si>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</si>
  <si>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</si>
  <si>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</si>
  <si>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</si>
  <si>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</si>
  <si>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</si>
  <si>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</si>
  <si>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</si>
  <si>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</si>
  <si>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</si>
  <si>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</si>
  <si>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</si>
  <si>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</si>
  <si>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</si>
  <si>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</si>
  <si>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</si>
  <si>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</si>
  <si>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</si>
  <si>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</si>
  <si>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</si>
  <si>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</si>
  <si>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</si>
  <si>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</si>
  <si>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</si>
  <si>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</si>
  <si>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</si>
  <si>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</si>
  <si>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</si>
  <si>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</si>
  <si>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</si>
  <si>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</si>
  <si>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</si>
  <si>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</si>
  <si>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</si>
  <si>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</si>
  <si>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</si>
  <si>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</si>
  <si>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</si>
  <si>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</si>
  <si>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</si>
  <si>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</si>
  <si>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</si>
  <si>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</si>
  <si>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</si>
  <si>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</si>
  <si>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</si>
  <si>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</si>
  <si>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</si>
  <si>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</si>
  <si>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</si>
  <si>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</si>
  <si>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</si>
  <si>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</si>
  <si>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</si>
  <si>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</si>
  <si>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</si>
  <si>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</si>
  <si>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</si>
  <si>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</si>
  <si>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</si>
  <si>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</si>
  <si>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</si>
  <si>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</si>
  <si>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</si>
  <si>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</si>
  <si>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</si>
  <si>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</si>
  <si>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</si>
  <si>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</si>
  <si>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</si>
  <si>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</si>
  <si>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</si>
  <si>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</si>
  <si>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</si>
  <si>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</si>
  <si>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</si>
  <si>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</si>
  <si>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</si>
  <si>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</si>
  <si>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</si>
  <si>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</si>
  <si>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</si>
  <si>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</si>
  <si>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</si>
  <si>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</si>
  <si>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</si>
  <si>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</si>
  <si>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</si>
  <si>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</si>
  <si>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</si>
  <si>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</si>
  <si>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</si>
  <si>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</si>
  <si>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</si>
  <si>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</si>
  <si>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</si>
  <si>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</si>
  <si>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</si>
  <si>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</si>
  <si>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</si>
  <si>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</si>
  <si>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</si>
  <si>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</si>
  <si>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</si>
  <si>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</si>
  <si>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</si>
  <si>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</si>
  <si>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</si>
  <si>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</si>
  <si>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</si>
  <si>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</si>
  <si>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</si>
  <si>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</si>
  <si>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</si>
  <si>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</si>
  <si>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</si>
  <si>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</si>
  <si>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</si>
  <si>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</si>
  <si>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</si>
  <si>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</si>
  <si>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</si>
  <si>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</si>
  <si>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</si>
  <si>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</si>
  <si>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</si>
  <si>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</si>
  <si>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</si>
  <si>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</si>
  <si>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</si>
  <si>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</si>
  <si>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</si>
  <si>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</si>
  <si>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</si>
  <si>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</si>
  <si>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</si>
  <si>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</si>
  <si>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</si>
  <si>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</si>
  <si>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</si>
  <si>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</si>
  <si>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</si>
  <si>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</si>
  <si>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</si>
  <si>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</si>
  <si>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</si>
  <si>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</si>
  <si>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</si>
  <si>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</si>
  <si>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</si>
  <si>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</si>
  <si>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</si>
  <si>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</si>
  <si>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</si>
  <si>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</si>
  <si>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</si>
  <si>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</si>
  <si>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</si>
  <si>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</si>
  <si>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</si>
  <si>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</si>
  <si>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</si>
  <si>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</si>
  <si>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</si>
  <si>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</si>
  <si>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</si>
  <si>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</si>
  <si>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</si>
  <si>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</si>
  <si>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</si>
  <si>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</si>
  <si>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</si>
  <si>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</si>
  <si>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</si>
  <si>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</si>
  <si>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</si>
  <si>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</si>
  <si>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</si>
  <si>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</si>
  <si>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</si>
  <si>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</si>
  <si>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</si>
  <si>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</si>
  <si>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</si>
  <si>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</si>
  <si>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</si>
  <si>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</si>
  <si>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</si>
  <si>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</si>
  <si>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</si>
  <si>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</si>
  <si>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</si>
  <si>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</si>
  <si>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</si>
  <si>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</si>
  <si>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</si>
  <si>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</si>
  <si>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</si>
  <si>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</si>
  <si>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</si>
  <si>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</si>
  <si>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</si>
  <si>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</si>
  <si>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</si>
  <si>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</si>
  <si>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</si>
  <si>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</si>
  <si>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</si>
  <si>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</si>
  <si>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</si>
  <si>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</si>
  <si>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</si>
  <si>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</si>
  <si>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</si>
  <si>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</si>
  <si>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</si>
  <si>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</si>
  <si>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</si>
  <si>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</si>
  <si>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</si>
  <si>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</si>
  <si>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</si>
  <si>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</si>
  <si>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</si>
  <si>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</si>
  <si>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</si>
  <si>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</si>
  <si>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</si>
  <si>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</si>
  <si>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</si>
  <si>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</si>
  <si>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</si>
  <si>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</si>
  <si>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</si>
  <si>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</si>
  <si>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</si>
  <si>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</si>
  <si>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</si>
  <si>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</si>
  <si>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</si>
  <si>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</si>
  <si>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</si>
  <si>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</si>
  <si>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</si>
  <si>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</si>
  <si>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</si>
  <si>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</si>
  <si>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</si>
  <si>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</si>
  <si>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</si>
  <si>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</si>
  <si>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</si>
  <si>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</si>
  <si>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</si>
  <si>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</si>
  <si>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</si>
  <si>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</si>
  <si>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</si>
  <si>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</si>
  <si>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</si>
  <si>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</si>
  <si>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</si>
  <si>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</si>
  <si>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</si>
  <si>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</si>
  <si>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</si>
  <si>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</si>
  <si>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</si>
  <si>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</si>
  <si>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</si>
  <si>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</si>
  <si>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</si>
  <si>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</si>
  <si>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</si>
  <si>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</si>
  <si>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</si>
  <si>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</si>
  <si>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</si>
  <si>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</si>
  <si>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</si>
  <si>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</si>
  <si>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</si>
  <si>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</si>
  <si>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</si>
  <si>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</si>
  <si>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</si>
  <si>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</si>
  <si>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</si>
  <si>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</si>
  <si>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</si>
  <si>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</si>
  <si>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</si>
  <si>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</si>
  <si>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</si>
  <si>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</si>
  <si>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</si>
  <si>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</si>
  <si>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</si>
  <si>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</si>
  <si>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</si>
  <si>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</si>
  <si>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</si>
  <si>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</si>
  <si>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</si>
  <si>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</si>
  <si>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</si>
  <si>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</si>
  <si>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</si>
  <si>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</si>
  <si>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</si>
  <si>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</si>
  <si>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</si>
  <si>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</si>
  <si>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</si>
  <si>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</si>
  <si>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</si>
  <si>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</si>
  <si>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</si>
  <si>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</si>
  <si>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</si>
  <si>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</si>
  <si>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</si>
  <si>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</si>
  <si>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</si>
  <si>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</si>
  <si>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</si>
  <si>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</si>
  <si>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</si>
  <si>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</si>
  <si>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</si>
  <si>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</si>
  <si>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</si>
  <si>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</si>
  <si>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</si>
  <si>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</si>
  <si>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</si>
  <si>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</si>
  <si>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</si>
  <si>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</si>
  <si>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</si>
  <si>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</si>
  <si>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</si>
  <si>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</si>
  <si>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</si>
  <si>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</si>
  <si>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</si>
  <si>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</si>
  <si>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</si>
  <si>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</si>
  <si>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</si>
  <si>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</si>
  <si>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</si>
  <si>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</si>
  <si>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</si>
  <si>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</si>
  <si>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</si>
  <si>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</si>
  <si>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</si>
  <si>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</si>
  <si>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</si>
  <si>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</si>
  <si>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</si>
  <si>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</si>
  <si>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</si>
  <si>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</si>
  <si>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</si>
  <si>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</si>
  <si>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</si>
  <si>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</si>
  <si>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</si>
  <si>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</si>
  <si>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</si>
  <si>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</si>
  <si>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</si>
  <si>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</si>
  <si>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</si>
  <si>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</si>
  <si>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</si>
  <si>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</si>
  <si>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</si>
  <si>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</si>
  <si>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</si>
  <si>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</si>
  <si>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</si>
  <si>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</si>
  <si>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</si>
  <si>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</si>
  <si>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</si>
  <si>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</si>
  <si>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</si>
  <si>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</si>
  <si>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</si>
  <si>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</si>
  <si>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</si>
  <si>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</si>
  <si>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</si>
  <si>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</si>
  <si>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</si>
  <si>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</si>
  <si>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</si>
  <si>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</si>
  <si>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</si>
  <si>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</si>
  <si>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</si>
  <si>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</si>
  <si>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</si>
  <si>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</si>
  <si>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</si>
  <si>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</si>
  <si>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</si>
  <si>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</si>
  <si>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</si>
  <si>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</si>
  <si>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</si>
  <si>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</si>
  <si>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</si>
  <si>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</si>
  <si>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</si>
  <si>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</si>
  <si>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</si>
  <si>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</si>
  <si>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</si>
  <si>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</si>
  <si>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</si>
  <si>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</si>
  <si>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</si>
  <si>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</si>
  <si>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</si>
  <si>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</si>
  <si>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</si>
  <si>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</si>
  <si>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</si>
  <si>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</si>
  <si>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</si>
  <si>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</si>
  <si>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</si>
  <si>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</si>
  <si>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</si>
  <si>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</si>
  <si>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</si>
  <si>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</si>
  <si>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</si>
  <si>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</si>
  <si>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</si>
  <si>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</si>
  <si>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</si>
  <si>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</si>
  <si>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</si>
  <si>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</si>
  <si>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</si>
  <si>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</si>
  <si>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</si>
  <si>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</si>
  <si>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</si>
  <si>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</si>
  <si>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</si>
  <si>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</si>
  <si>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</si>
  <si>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</si>
  <si>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</si>
  <si>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</si>
  <si>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</si>
  <si>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</si>
  <si>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</si>
  <si>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</si>
  <si>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</si>
  <si>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</si>
  <si>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</si>
  <si>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</si>
  <si>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</si>
  <si>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</si>
  <si>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</si>
  <si>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</si>
  <si>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</si>
  <si>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</si>
  <si>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</si>
  <si>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</si>
  <si>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</si>
  <si>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</si>
  <si>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</si>
  <si>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</si>
  <si>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</si>
  <si>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</si>
  <si>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</si>
  <si>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</si>
  <si>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</si>
  <si>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</si>
  <si>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</si>
  <si>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</si>
  <si>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</si>
  <si>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</si>
  <si>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</si>
  <si>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</si>
  <si>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</si>
  <si>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</si>
  <si>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</si>
  <si>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</si>
  <si>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</si>
  <si>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</si>
  <si>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</si>
  <si>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</si>
  <si>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</si>
  <si>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</si>
  <si>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</si>
  <si>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</si>
  <si>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</si>
  <si>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</si>
  <si>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</si>
  <si>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</si>
  <si>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</si>
  <si>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</si>
  <si>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</si>
  <si>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</si>
  <si>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</si>
  <si>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</si>
  <si>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</si>
  <si>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</si>
  <si>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</si>
  <si>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</si>
  <si>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</si>
  <si>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</si>
  <si>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</si>
  <si>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</si>
  <si>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</si>
  <si>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</si>
  <si>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</si>
  <si>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</si>
  <si>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</si>
  <si>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</si>
  <si>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</si>
  <si>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</si>
  <si>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</si>
  <si>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</si>
  <si>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</si>
  <si>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</si>
  <si>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</si>
  <si>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</si>
  <si>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</si>
  <si>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</si>
  <si>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</si>
  <si>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</si>
  <si>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</si>
  <si>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</si>
  <si>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</si>
  <si>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</si>
  <si>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</si>
  <si>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</si>
  <si>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</si>
  <si>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</si>
  <si>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</si>
  <si>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</si>
  <si>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</si>
  <si>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</si>
  <si>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</si>
  <si>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</si>
  <si>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</si>
  <si>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</si>
  <si>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</si>
  <si>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</si>
  <si>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</si>
  <si>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</si>
  <si>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</si>
  <si>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</si>
  <si>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</si>
  <si>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</si>
  <si>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</si>
  <si>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</si>
  <si>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</si>
  <si>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</si>
  <si>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</si>
  <si>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</si>
  <si>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</si>
  <si>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</si>
  <si>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</si>
  <si>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</si>
  <si>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</si>
  <si>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</si>
  <si>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</si>
  <si>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</si>
  <si>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</si>
  <si>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</si>
  <si>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</si>
  <si>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</si>
  <si>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</si>
  <si>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</si>
  <si>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</si>
  <si>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</si>
  <si>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</si>
  <si>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</si>
  <si>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</si>
  <si>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</si>
  <si>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</si>
  <si>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</si>
  <si>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</si>
  <si>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</si>
  <si>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</si>
  <si>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</si>
  <si>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</si>
  <si>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</si>
  <si>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</si>
  <si>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</si>
  <si>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</si>
  <si>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</si>
  <si>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</si>
  <si>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</si>
  <si>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</si>
  <si>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</si>
  <si>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</si>
  <si>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</si>
  <si>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</si>
  <si>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</si>
  <si>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</si>
  <si>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</si>
  <si>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</si>
  <si>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</si>
  <si>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</si>
  <si>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</si>
  <si>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</si>
  <si>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</si>
  <si>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</si>
  <si>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</si>
  <si>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</si>
  <si>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</si>
  <si>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</si>
  <si>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</si>
  <si>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</si>
  <si>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</si>
  <si>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</si>
  <si>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</si>
  <si>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</si>
  <si>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</si>
  <si>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</si>
  <si>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</si>
  <si>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</si>
  <si>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</si>
  <si>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</si>
  <si>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</si>
  <si>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</si>
  <si>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</si>
  <si>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</si>
  <si>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</si>
  <si>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</si>
  <si>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</si>
  <si>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</si>
  <si>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</si>
  <si>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</si>
  <si>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</si>
  <si>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</si>
  <si>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</si>
  <si>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</si>
  <si>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</si>
  <si>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</si>
  <si>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</si>
  <si>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</si>
  <si>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</si>
  <si>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</si>
  <si>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</si>
  <si>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</si>
  <si>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</si>
  <si>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</si>
  <si>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</si>
  <si>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</si>
  <si>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</si>
  <si>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</si>
  <si>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</si>
  <si>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</si>
  <si>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</si>
  <si>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</si>
  <si>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</si>
  <si>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</si>
  <si>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</si>
  <si>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</si>
  <si>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</si>
  <si>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</si>
  <si>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</si>
  <si>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</si>
  <si>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</si>
  <si>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</si>
  <si>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</si>
  <si>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</si>
  <si>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</si>
  <si>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</si>
  <si>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</si>
  <si>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</si>
  <si>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</si>
  <si>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</si>
  <si>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</si>
  <si>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</si>
  <si>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</si>
  <si>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</si>
  <si>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</si>
  <si>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</si>
  <si>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</si>
  <si>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</si>
  <si>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</si>
  <si>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</si>
  <si>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</si>
  <si>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</si>
  <si>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</si>
  <si>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</si>
  <si>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</si>
  <si>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</si>
  <si>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</si>
  <si>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</si>
  <si>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</si>
  <si>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</si>
  <si>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</si>
  <si>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</si>
  <si>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</si>
  <si>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</si>
  <si>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</si>
  <si>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</si>
  <si>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</si>
  <si>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</si>
  <si>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</si>
  <si>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</si>
  <si>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</si>
  <si>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</si>
  <si>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</si>
  <si>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</si>
  <si>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</si>
  <si>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</si>
  <si>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</si>
  <si>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</si>
  <si>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</si>
  <si>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</si>
  <si>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</si>
  <si>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</si>
  <si>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</si>
  <si>
    <t xml:space="preserve">    - xform/《p/《/</t>
  </si>
  <si>
    <t xml:space="preserve">    - xform/《t/《/</t>
  </si>
  <si>
    <t xml:space="preserve">    - xform/《k/《/</t>
  </si>
  <si>
    <t xml:space="preserve">    - xform/《h/《/</t>
  </si>
  <si>
    <t xml:space="preserve">    #--------------------------------------------------------------------------</t>
  </si>
  <si>
    <t xml:space="preserve">    # 聲母校調</t>
  </si>
  <si>
    <t xml:space="preserve">    # 濁聲母轉換</t>
  </si>
  <si>
    <t xml:space="preserve">    # - xform/ㆠ/ㄅㆷ/</t>
  </si>
  <si>
    <t xml:space="preserve">    # - xform/ㆣ/ㄍㆷ/</t>
  </si>
  <si>
    <t xml:space="preserve">    - xform/ㆠ//</t>
  </si>
  <si>
    <t xml:space="preserve">    - xform/ㆣ//</t>
  </si>
  <si>
    <t xml:space="preserve">    # - xform/ㆡ/ㄖ/          # j</t>
  </si>
  <si>
    <t xml:space="preserve">    - xform/ㄗㄧ/ㄐㄧ/</t>
  </si>
  <si>
    <t xml:space="preserve">    - xform/ㄘㄧ/ㄑㄧ/</t>
  </si>
  <si>
    <t xml:space="preserve">    - xform/ㄙㄧ/ㄒㄧ/</t>
  </si>
  <si>
    <t xml:space="preserve">    - xform/ㄘｎㄧ/ㄑㄧ/</t>
  </si>
  <si>
    <t xml:space="preserve">    - xform/ㄙｎㄧ/ㄒㄧ/</t>
  </si>
  <si>
    <t xml:space="preserve">    # 韻母校調</t>
  </si>
  <si>
    <t xml:space="preserve">    # 借用之方音符號轉台語注音符號</t>
  </si>
  <si>
    <t xml:space="preserve">    # - xform/ㆤ/ㄝ/          # e </t>
  </si>
  <si>
    <t xml:space="preserve">    # - xform/ㆦ/ㄛ/          # oo</t>
  </si>
  <si>
    <t xml:space="preserve">    - xform/ㄫ/ㄥ/          # ng-</t>
  </si>
  <si>
    <t xml:space="preserve">    - xform/ㆭ/ㄥ/          # -ng</t>
  </si>
  <si>
    <t xml:space="preserve">    - xform/ㆬ/ㄇ/          # -m</t>
  </si>
  <si>
    <t xml:space="preserve">    - xform/ㆲ/ㆦㄥ/</t>
  </si>
  <si>
    <t xml:space="preserve">      # ong</t>
  </si>
  <si>
    <t xml:space="preserve">    - xform/ㆰ/ㄚㄇ/</t>
  </si>
  <si>
    <t xml:space="preserve">      # am</t>
  </si>
  <si>
    <t xml:space="preserve">    - xform/ㆱ/ㆦㄇ/</t>
  </si>
  <si>
    <t xml:space="preserve">      # om</t>
  </si>
  <si>
    <t xml:space="preserve">    # 鼻音韻母轉換</t>
  </si>
  <si>
    <t xml:space="preserve">    # 單鼻音韻母</t>
  </si>
  <si>
    <t xml:space="preserve">    - xform/ㆪ/ㄧ/</t>
  </si>
  <si>
    <t xml:space="preserve">    - xform/ㆫ/ㄨ/</t>
  </si>
  <si>
    <t xml:space="preserve">    - xform/ㆩ/ㄚ/</t>
  </si>
  <si>
    <t xml:space="preserve">    - xform/ㆧ/ㆦ/</t>
  </si>
  <si>
    <t xml:space="preserve">    - xform/ㆥ/ㄝ/</t>
  </si>
  <si>
    <t xml:space="preserve">    - xform/ㆮ/ㄞ/</t>
  </si>
  <si>
    <t xml:space="preserve">    - xform/ㆯ/ㄠ/</t>
  </si>
  <si>
    <t xml:space="preserve">    - xform/ｎ//</t>
  </si>
  <si>
    <t xml:space="preserve">    # 複合鼻音韻母</t>
  </si>
  <si>
    <t xml:space="preserve">    - xform/(ㄧ)(?!ㄚ|ㄠ|ㄨ|)/$1/</t>
  </si>
  <si>
    <t xml:space="preserve">  # Nia, Niau, Niu</t>
  </si>
  <si>
    <t xml:space="preserve">    - xform/(ㄨ)(?!ㄚ|ㄞ|ㄧ)/$1/</t>
  </si>
  <si>
    <t xml:space="preserve">    # Nua, Nuai, Nui</t>
  </si>
  <si>
    <t xml:space="preserve">    # 入聲韻尾</t>
  </si>
  <si>
    <t xml:space="preserve">    # - xform/ㄅ(˙)/$1/</t>
  </si>
  <si>
    <t xml:space="preserve">    # - xform/ㄉ(˙)/$1/</t>
  </si>
  <si>
    <t xml:space="preserve">    # - xform/ㄍ(˙)/$1/</t>
  </si>
  <si>
    <t xml:space="preserve">    # - xform/ㄏ(˙)/ㆷ$1/</t>
  </si>
  <si>
    <t xml:space="preserve">    - xform/ㄅ(˙)/$1/</t>
  </si>
  <si>
    <t xml:space="preserve">    - xform/ㄉ(˙)/$1/</t>
  </si>
  <si>
    <t xml:space="preserve">    - xform/ㄍ(˙)/$1/</t>
  </si>
  <si>
    <t xml:space="preserve">    - xform/ㄏ(˙)/$1/</t>
  </si>
  <si>
    <t xml:space="preserve">    - xform/ㄆ(˙)/$1/</t>
  </si>
  <si>
    <t xml:space="preserve">    - xform/ㄊ(˙)/$1/</t>
  </si>
  <si>
    <t xml:space="preserve">    - xform/ㄎ(˙)/$1/</t>
  </si>
  <si>
    <t xml:space="preserve">    - xform/ㄗｎㄧ/ㄐㄧ/</t>
    <phoneticPr fontId="6" type="noConversion"/>
  </si>
  <si>
    <t>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</si>
</sst>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  <font>
      <sz val="36"/>
      <color rgb="FF000000"/>
      <name val="新細明體"/>
      <family val="1"/>
      <charset val="136"/>
      <scheme val="minor"/>
    </font>
    <font>
      <sz val="36"/>
      <color rgb="FF000000"/>
      <name val="新細明體"/>
      <family val="1"/>
      <scheme val="minor"/>
    </font>
    <font>
      <sz val="24"/>
      <color rgb="FF00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8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9" borderId="19" xfId="3" applyFont="1" applyFill="1" applyBorder="1" applyAlignment="1">
      <alignment horizontal="center" vertical="center"/>
    </xf>
    <xf numFmtId="0" fontId="74" fillId="19" borderId="19" xfId="3" applyFont="1" applyFill="1" applyBorder="1" applyAlignment="1">
      <alignment horizontal="left" vertical="center"/>
    </xf>
    <xf numFmtId="0" fontId="74" fillId="19" borderId="4" xfId="3" applyFont="1" applyFill="1" applyBorder="1" applyAlignment="1">
      <alignment horizontal="center" vertical="center"/>
    </xf>
    <xf numFmtId="0" fontId="74" fillId="19" borderId="4" xfId="3" applyFont="1" applyFill="1" applyBorder="1" applyAlignment="1">
      <alignment horizontal="left" vertical="center"/>
    </xf>
    <xf numFmtId="0" fontId="74" fillId="19" borderId="23" xfId="3" applyFont="1" applyFill="1" applyBorder="1" applyAlignment="1">
      <alignment horizontal="center" vertical="center"/>
    </xf>
    <xf numFmtId="0" fontId="74" fillId="19" borderId="23" xfId="3" applyFont="1" applyFill="1" applyBorder="1" applyAlignment="1">
      <alignment horizontal="left" vertical="center"/>
    </xf>
    <xf numFmtId="0" fontId="64" fillId="19" borderId="23" xfId="3" applyFont="1" applyFill="1" applyBorder="1" applyAlignment="1">
      <alignment horizontal="center" vertical="center"/>
    </xf>
    <xf numFmtId="0" fontId="67" fillId="19" borderId="19" xfId="3" applyFont="1" applyFill="1" applyBorder="1" applyAlignment="1">
      <alignment horizontal="center" vertical="center"/>
    </xf>
    <xf numFmtId="0" fontId="67" fillId="19" borderId="19" xfId="3" applyFont="1" applyFill="1" applyBorder="1" applyAlignment="1">
      <alignment horizontal="left" vertical="center"/>
    </xf>
    <xf numFmtId="0" fontId="64" fillId="19" borderId="19" xfId="3" applyFont="1" applyFill="1" applyBorder="1" applyAlignment="1">
      <alignment horizontal="center" vertical="center"/>
    </xf>
    <xf numFmtId="0" fontId="64" fillId="19" borderId="19" xfId="3" applyFont="1" applyFill="1" applyBorder="1" applyAlignment="1">
      <alignment horizontal="left" vertical="center"/>
    </xf>
    <xf numFmtId="0" fontId="64" fillId="19" borderId="4" xfId="3" applyFont="1" applyFill="1" applyBorder="1" applyAlignment="1">
      <alignment horizontal="center" vertical="center"/>
    </xf>
    <xf numFmtId="0" fontId="64" fillId="19" borderId="4" xfId="3" applyFont="1" applyFill="1" applyBorder="1" applyAlignment="1">
      <alignment horizontal="left" vertical="center"/>
    </xf>
    <xf numFmtId="0" fontId="64" fillId="19" borderId="23" xfId="3" applyFont="1" applyFill="1" applyBorder="1" applyAlignment="1">
      <alignment horizontal="left" vertical="center"/>
    </xf>
    <xf numFmtId="0" fontId="71" fillId="19" borderId="4" xfId="3" applyFont="1" applyFill="1" applyBorder="1" applyAlignment="1">
      <alignment horizontal="center" vertical="center"/>
    </xf>
    <xf numFmtId="0" fontId="71" fillId="19" borderId="4" xfId="3" applyFont="1" applyFill="1" applyBorder="1" applyAlignment="1">
      <alignment horizontal="left" vertical="center"/>
    </xf>
    <xf numFmtId="0" fontId="13" fillId="19" borderId="4" xfId="3" applyFont="1" applyFill="1" applyBorder="1" applyAlignment="1">
      <alignment horizontal="center" vertical="center"/>
    </xf>
    <xf numFmtId="0" fontId="13" fillId="19" borderId="4" xfId="3" applyFont="1" applyFill="1" applyBorder="1" applyAlignment="1">
      <alignment horizontal="left" vertical="center"/>
    </xf>
    <xf numFmtId="0" fontId="86" fillId="20" borderId="24" xfId="3" applyFont="1" applyFill="1" applyBorder="1" applyAlignment="1">
      <alignment horizontal="center" vertical="center"/>
    </xf>
    <xf numFmtId="0" fontId="86" fillId="20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9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9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9" borderId="19" xfId="3" applyFont="1" applyFill="1" applyBorder="1" applyAlignment="1">
      <alignment horizontal="left" vertical="center"/>
    </xf>
    <xf numFmtId="0" fontId="88" fillId="19" borderId="4" xfId="3" applyFont="1" applyFill="1" applyBorder="1" applyAlignment="1">
      <alignment horizontal="left" vertical="center"/>
    </xf>
    <xf numFmtId="0" fontId="88" fillId="19" borderId="27" xfId="3" applyFont="1" applyFill="1" applyBorder="1" applyAlignment="1">
      <alignment horizontal="left" vertical="center"/>
    </xf>
    <xf numFmtId="0" fontId="88" fillId="19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20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9" borderId="27" xfId="3" applyFont="1" applyFill="1" applyBorder="1" applyAlignment="1">
      <alignment horizontal="center" vertical="center"/>
    </xf>
    <xf numFmtId="0" fontId="92" fillId="19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1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9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2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8" borderId="0" xfId="0" applyFont="1" applyFill="1" applyAlignment="1">
      <alignment horizontal="center" vertical="center"/>
    </xf>
    <xf numFmtId="0" fontId="114" fillId="23" borderId="0" xfId="0" applyFont="1" applyFill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25" borderId="0" xfId="0" applyFont="1" applyFill="1" applyAlignment="1">
      <alignment horizontal="center" vertical="center"/>
    </xf>
    <xf numFmtId="0" fontId="114" fillId="26" borderId="0" xfId="0" applyFont="1" applyFill="1" applyAlignment="1">
      <alignment horizontal="center" vertical="center"/>
    </xf>
    <xf numFmtId="0" fontId="114" fillId="2" borderId="0" xfId="0" applyFont="1" applyFill="1" applyAlignment="1">
      <alignment horizontal="center" vertical="center"/>
    </xf>
    <xf numFmtId="0" fontId="114" fillId="27" borderId="0" xfId="0" applyFont="1" applyFill="1" applyAlignment="1">
      <alignment horizontal="center" vertical="center"/>
    </xf>
    <xf numFmtId="0" fontId="114" fillId="18" borderId="0" xfId="0" applyFont="1" applyFill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8" borderId="0" xfId="2" applyFont="1" applyFill="1" applyAlignment="1">
      <alignment horizontal="left" vertical="center"/>
    </xf>
    <xf numFmtId="0" fontId="123" fillId="28" borderId="0" xfId="2" applyFont="1" applyFill="1" applyAlignment="1">
      <alignment horizontal="center" vertical="center"/>
    </xf>
    <xf numFmtId="0" fontId="124" fillId="28" borderId="0" xfId="2" applyFont="1" applyFill="1"/>
    <xf numFmtId="0" fontId="125" fillId="28" borderId="0" xfId="2" applyFont="1" applyFill="1"/>
    <xf numFmtId="0" fontId="94" fillId="28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9" borderId="0" xfId="3" applyFont="1" applyFill="1" applyAlignment="1">
      <alignment horizontal="center" vertical="center"/>
    </xf>
    <xf numFmtId="0" fontId="88" fillId="19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9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20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9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9" borderId="17" xfId="3" applyFont="1" applyFill="1" applyBorder="1" applyAlignment="1">
      <alignment horizontal="center" vertical="center"/>
    </xf>
    <xf numFmtId="0" fontId="88" fillId="19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9" borderId="12" xfId="3" applyFont="1" applyFill="1" applyBorder="1" applyAlignment="1">
      <alignment horizontal="center" vertical="center"/>
    </xf>
    <xf numFmtId="0" fontId="88" fillId="19" borderId="12" xfId="3" applyFont="1" applyFill="1" applyBorder="1" applyAlignment="1">
      <alignment horizontal="left" vertical="center"/>
    </xf>
    <xf numFmtId="0" fontId="74" fillId="19" borderId="12" xfId="3" quotePrefix="1" applyFont="1" applyFill="1" applyBorder="1" applyAlignment="1">
      <alignment horizontal="center" vertical="center"/>
    </xf>
    <xf numFmtId="0" fontId="74" fillId="19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9" borderId="31" xfId="3" applyFont="1" applyFill="1" applyBorder="1" applyAlignment="1">
      <alignment horizontal="center" vertical="center"/>
    </xf>
    <xf numFmtId="0" fontId="88" fillId="19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9" borderId="32" xfId="3" applyFont="1" applyFill="1" applyBorder="1" applyAlignment="1">
      <alignment horizontal="center" vertical="center"/>
    </xf>
    <xf numFmtId="0" fontId="88" fillId="19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9" borderId="29" xfId="3" applyFont="1" applyFill="1" applyBorder="1" applyAlignment="1">
      <alignment horizontal="center" vertical="center"/>
    </xf>
    <xf numFmtId="0" fontId="88" fillId="19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9" borderId="0" xfId="3" applyFont="1" applyFill="1" applyAlignment="1">
      <alignment horizontal="center" vertical="center"/>
    </xf>
    <xf numFmtId="0" fontId="13" fillId="19" borderId="17" xfId="3" applyFont="1" applyFill="1" applyBorder="1" applyAlignment="1">
      <alignment horizontal="center" vertical="center"/>
    </xf>
    <xf numFmtId="0" fontId="13" fillId="19" borderId="17" xfId="3" quotePrefix="1" applyFont="1" applyFill="1" applyBorder="1" applyAlignment="1">
      <alignment horizontal="center" vertical="center"/>
    </xf>
    <xf numFmtId="0" fontId="92" fillId="19" borderId="17" xfId="3" applyFont="1" applyFill="1" applyBorder="1" applyAlignment="1">
      <alignment horizontal="left" vertical="center"/>
    </xf>
    <xf numFmtId="0" fontId="130" fillId="19" borderId="0" xfId="3" applyFont="1" applyFill="1" applyAlignment="1">
      <alignment horizontal="center" vertical="center"/>
    </xf>
    <xf numFmtId="0" fontId="130" fillId="19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9" borderId="17" xfId="3" applyFont="1" applyFill="1" applyBorder="1" applyAlignment="1">
      <alignment horizontal="left" vertical="center"/>
    </xf>
    <xf numFmtId="0" fontId="138" fillId="19" borderId="0" xfId="5" applyFont="1" applyFill="1" applyAlignment="1">
      <alignment horizontal="center" vertical="center"/>
    </xf>
    <xf numFmtId="0" fontId="138" fillId="19" borderId="17" xfId="5" applyFont="1" applyFill="1" applyBorder="1" applyAlignment="1">
      <alignment horizontal="center" vertical="center"/>
    </xf>
    <xf numFmtId="0" fontId="142" fillId="19" borderId="0" xfId="5" applyFont="1" applyFill="1" applyAlignment="1">
      <alignment horizontal="center" vertical="center"/>
    </xf>
    <xf numFmtId="0" fontId="140" fillId="19" borderId="0" xfId="5" applyFont="1" applyFill="1" applyAlignment="1">
      <alignment horizontal="center" vertical="center"/>
    </xf>
    <xf numFmtId="0" fontId="145" fillId="19" borderId="27" xfId="3" applyFont="1" applyFill="1" applyBorder="1" applyAlignment="1">
      <alignment horizontal="center" vertical="center"/>
    </xf>
    <xf numFmtId="0" fontId="74" fillId="29" borderId="27" xfId="3" applyFont="1" applyFill="1" applyBorder="1" applyAlignment="1">
      <alignment horizontal="center" vertical="center"/>
    </xf>
    <xf numFmtId="0" fontId="74" fillId="29" borderId="0" xfId="3" applyFont="1" applyFill="1" applyAlignment="1">
      <alignment horizontal="center" vertical="center"/>
    </xf>
    <xf numFmtId="0" fontId="143" fillId="19" borderId="27" xfId="3" applyFont="1" applyFill="1" applyBorder="1" applyAlignment="1">
      <alignment horizontal="center" vertical="center"/>
    </xf>
    <xf numFmtId="0" fontId="143" fillId="19" borderId="29" xfId="3" applyFont="1" applyFill="1" applyBorder="1" applyAlignment="1">
      <alignment horizontal="center" vertical="center"/>
    </xf>
    <xf numFmtId="0" fontId="143" fillId="19" borderId="12" xfId="3" applyFont="1" applyFill="1" applyBorder="1" applyAlignment="1">
      <alignment horizontal="center" vertical="center"/>
    </xf>
    <xf numFmtId="0" fontId="143" fillId="19" borderId="0" xfId="3" applyFont="1" applyFill="1" applyAlignment="1">
      <alignment horizontal="center" vertical="center"/>
    </xf>
    <xf numFmtId="0" fontId="143" fillId="19" borderId="17" xfId="3" applyFont="1" applyFill="1" applyBorder="1" applyAlignment="1">
      <alignment horizontal="center" vertical="center"/>
    </xf>
    <xf numFmtId="0" fontId="141" fillId="19" borderId="17" xfId="3" applyFont="1" applyFill="1" applyBorder="1" applyAlignment="1">
      <alignment horizontal="center" vertical="center"/>
    </xf>
    <xf numFmtId="0" fontId="144" fillId="19" borderId="12" xfId="3" applyFont="1" applyFill="1" applyBorder="1" applyAlignment="1">
      <alignment horizontal="center" vertical="center"/>
    </xf>
    <xf numFmtId="0" fontId="144" fillId="19" borderId="0" xfId="3" applyFont="1" applyFill="1" applyAlignment="1">
      <alignment horizontal="center" vertical="center"/>
    </xf>
    <xf numFmtId="0" fontId="146" fillId="19" borderId="0" xfId="3" applyFont="1" applyFill="1" applyAlignment="1">
      <alignment horizontal="center" vertical="center"/>
    </xf>
    <xf numFmtId="0" fontId="79" fillId="19" borderId="32" xfId="3" applyFont="1" applyFill="1" applyBorder="1" applyAlignment="1">
      <alignment horizontal="center" vertical="center"/>
    </xf>
    <xf numFmtId="0" fontId="147" fillId="19" borderId="12" xfId="3" applyFont="1" applyFill="1" applyBorder="1" applyAlignment="1">
      <alignment horizontal="center" vertical="center"/>
    </xf>
    <xf numFmtId="0" fontId="79" fillId="19" borderId="12" xfId="3" applyFont="1" applyFill="1" applyBorder="1" applyAlignment="1">
      <alignment horizontal="center" vertical="center"/>
    </xf>
    <xf numFmtId="0" fontId="17" fillId="19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9" borderId="0" xfId="5" applyFont="1" applyFill="1" applyAlignment="1">
      <alignment horizontal="center" vertical="center"/>
    </xf>
    <xf numFmtId="0" fontId="74" fillId="29" borderId="17" xfId="3" quotePrefix="1" applyFont="1" applyFill="1" applyBorder="1" applyAlignment="1">
      <alignment horizontal="center" vertical="center"/>
    </xf>
    <xf numFmtId="0" fontId="74" fillId="29" borderId="12" xfId="3" applyFont="1" applyFill="1" applyBorder="1" applyAlignment="1">
      <alignment horizontal="center" vertical="center"/>
    </xf>
    <xf numFmtId="0" fontId="74" fillId="29" borderId="17" xfId="3" applyFont="1" applyFill="1" applyBorder="1" applyAlignment="1">
      <alignment horizontal="center" vertical="center"/>
    </xf>
    <xf numFmtId="0" fontId="130" fillId="19" borderId="31" xfId="3" applyFont="1" applyFill="1" applyBorder="1" applyAlignment="1">
      <alignment horizontal="center" vertical="center"/>
    </xf>
    <xf numFmtId="0" fontId="138" fillId="19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8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9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9" borderId="29" xfId="3" applyFont="1" applyFill="1" applyBorder="1" applyAlignment="1">
      <alignment horizontal="center" vertical="center"/>
    </xf>
    <xf numFmtId="0" fontId="92" fillId="19" borderId="30" xfId="3" applyFont="1" applyFill="1" applyBorder="1" applyAlignment="1">
      <alignment horizontal="left" vertical="center"/>
    </xf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9" borderId="17" xfId="3" applyFont="1" applyFill="1" applyBorder="1" applyAlignment="1">
      <alignment horizontal="center" vertical="center"/>
    </xf>
    <xf numFmtId="0" fontId="143" fillId="19" borderId="0" xfId="3" applyFont="1" applyFill="1" applyBorder="1" applyAlignment="1">
      <alignment horizontal="center" vertical="center"/>
    </xf>
    <xf numFmtId="0" fontId="152" fillId="19" borderId="0" xfId="3" applyFont="1" applyFill="1" applyBorder="1" applyAlignment="1">
      <alignment horizontal="center" vertical="center"/>
    </xf>
    <xf numFmtId="0" fontId="153" fillId="19" borderId="0" xfId="3" applyFont="1" applyFill="1" applyAlignment="1">
      <alignment horizontal="center" vertical="center"/>
    </xf>
    <xf numFmtId="0" fontId="153" fillId="19" borderId="27" xfId="3" applyFont="1" applyFill="1" applyBorder="1" applyAlignment="1">
      <alignment horizontal="center" vertical="center"/>
    </xf>
    <xf numFmtId="0" fontId="153" fillId="19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8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9" borderId="32" xfId="3" quotePrefix="1" applyFont="1" applyFill="1" applyBorder="1" applyAlignment="1">
      <alignment horizontal="center" vertical="center"/>
    </xf>
    <xf numFmtId="0" fontId="74" fillId="19" borderId="27" xfId="3" quotePrefix="1" applyFont="1" applyFill="1" applyBorder="1" applyAlignment="1">
      <alignment horizontal="center" vertical="center"/>
    </xf>
    <xf numFmtId="0" fontId="74" fillId="19" borderId="29" xfId="3" quotePrefix="1" applyFont="1" applyFill="1" applyBorder="1" applyAlignment="1">
      <alignment horizontal="center" vertical="center"/>
    </xf>
    <xf numFmtId="0" fontId="155" fillId="19" borderId="0" xfId="3" applyFont="1" applyFill="1" applyAlignment="1">
      <alignment horizontal="center" vertical="center"/>
    </xf>
    <xf numFmtId="0" fontId="74" fillId="22" borderId="0" xfId="3" applyFont="1" applyFill="1" applyAlignment="1">
      <alignment horizontal="center" vertical="center"/>
    </xf>
    <xf numFmtId="0" fontId="80" fillId="22" borderId="0" xfId="3" applyFont="1" applyFill="1" applyAlignment="1">
      <alignment horizontal="center" vertical="center"/>
    </xf>
    <xf numFmtId="0" fontId="74" fillId="22" borderId="17" xfId="3" applyFont="1" applyFill="1" applyBorder="1" applyAlignment="1">
      <alignment horizontal="center" vertical="center"/>
    </xf>
    <xf numFmtId="0" fontId="156" fillId="19" borderId="0" xfId="3" applyFont="1" applyFill="1" applyAlignment="1">
      <alignment horizontal="center" vertical="center"/>
    </xf>
    <xf numFmtId="0" fontId="74" fillId="2" borderId="0" xfId="3" applyFont="1" applyFill="1" applyBorder="1" applyAlignment="1">
      <alignment horizontal="center" vertical="center"/>
    </xf>
    <xf numFmtId="0" fontId="131" fillId="7" borderId="0" xfId="3" applyFont="1" applyFill="1" applyBorder="1" applyAlignment="1">
      <alignment horizontal="center" vertical="center"/>
    </xf>
    <xf numFmtId="0" fontId="74" fillId="19" borderId="0" xfId="3" applyFont="1" applyFill="1" applyBorder="1" applyAlignment="1">
      <alignment horizontal="center" vertical="center"/>
    </xf>
    <xf numFmtId="0" fontId="74" fillId="29" borderId="0" xfId="3" applyFont="1" applyFill="1" applyBorder="1" applyAlignment="1">
      <alignment horizontal="center" vertical="center"/>
    </xf>
    <xf numFmtId="0" fontId="88" fillId="19" borderId="0" xfId="3" applyFont="1" applyFill="1" applyBorder="1" applyAlignment="1">
      <alignment horizontal="left" vertical="center"/>
    </xf>
    <xf numFmtId="0" fontId="159" fillId="7" borderId="0" xfId="3" applyFont="1" applyFill="1" applyBorder="1" applyAlignment="1">
      <alignment horizontal="center" vertical="center"/>
    </xf>
    <xf numFmtId="0" fontId="133" fillId="7" borderId="0" xfId="3" applyFont="1" applyFill="1" applyBorder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2" borderId="0" xfId="0" applyFont="1" applyFill="1" applyAlignment="1">
      <alignment horizontal="center" vertical="center"/>
    </xf>
    <xf numFmtId="0" fontId="164" fillId="0" borderId="0" xfId="2" applyFont="1" applyAlignment="1">
      <alignment vertical="center"/>
    </xf>
    <xf numFmtId="0" fontId="165" fillId="0" borderId="0" xfId="2" applyFont="1" applyAlignment="1">
      <alignment vertical="center"/>
    </xf>
    <xf numFmtId="0" fontId="166" fillId="0" borderId="0" xfId="2" applyFont="1" applyAlignment="1">
      <alignment horizontal="left" vertical="center"/>
    </xf>
    <xf numFmtId="0" fontId="164" fillId="0" borderId="0" xfId="2" applyFont="1"/>
    <xf numFmtId="0" fontId="166" fillId="0" borderId="0" xfId="2" applyFont="1" applyAlignment="1">
      <alignment horizontal="center" readingOrder="1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7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3" dataCellStyle="一般 2"/>
    <tableColumn id="5" xr3:uid="{FD87CD5D-A668-47A2-81A3-7C73ADB50A00}" name="注音二式" dataDxfId="12" dataCellStyle="一般 2"/>
    <tableColumn id="12" xr3:uid="{85B04DFC-B9DC-4CB5-A240-0A7FBF19873E}" name="台羅拼音" dataDxfId="11" dataCellStyle="一般 2"/>
    <tableColumn id="13" xr3:uid="{F7DD5DEF-4DC1-4CDA-8A57-1F34D99CFDFB}" name="白話字" dataDxfId="10" dataCellStyle="一般 2"/>
    <tableColumn id="9" xr3:uid="{1BE92F35-2EAF-44ED-BB09-073437BE620F}" name="閩拼方案" dataDxfId="9" dataCellStyle="一般 2"/>
    <tableColumn id="8" xr3:uid="{283E1CF3-6561-41D8-B4DF-0A3C621707B0}" name="附註" dataDxfId="8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25" activePane="bottomLeft" state="frozen"/>
      <selection pane="bottomLeft" activeCell="M30" sqref="M30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9" t="s">
        <v>2</v>
      </c>
      <c r="C2" s="350" t="s">
        <v>8333</v>
      </c>
      <c r="D2" s="349" t="s">
        <v>203</v>
      </c>
      <c r="E2" s="349" t="s">
        <v>3</v>
      </c>
      <c r="F2" s="349" t="s">
        <v>8376</v>
      </c>
      <c r="G2" s="349" t="s">
        <v>8197</v>
      </c>
      <c r="H2" s="349" t="s">
        <v>8252</v>
      </c>
      <c r="I2" s="349" t="s">
        <v>8323</v>
      </c>
      <c r="J2" s="349" t="s">
        <v>8324</v>
      </c>
      <c r="K2" s="349" t="s">
        <v>8238</v>
      </c>
      <c r="L2" s="349" t="s">
        <v>8148</v>
      </c>
      <c r="M2" s="351" t="s">
        <v>8149</v>
      </c>
      <c r="N2"/>
      <c r="P2"/>
      <c r="Q2" s="89"/>
      <c r="U2"/>
      <c r="V2"/>
      <c r="X2"/>
      <c r="AA2"/>
    </row>
    <row r="3" spans="2:27" ht="43.5">
      <c r="B3" s="346">
        <f t="shared" ref="B3:B34" si="0" xml:space="preserve"> ROW() - 2</f>
        <v>1</v>
      </c>
      <c r="C3" s="347" t="s">
        <v>8301</v>
      </c>
      <c r="D3" s="344" t="s">
        <v>116</v>
      </c>
      <c r="E3" s="344" t="s">
        <v>9</v>
      </c>
      <c r="F3" s="390" t="s">
        <v>8392</v>
      </c>
      <c r="G3" s="344" t="s">
        <v>2379</v>
      </c>
      <c r="H3" s="344" t="s">
        <v>8255</v>
      </c>
      <c r="I3" s="344" t="s">
        <v>116</v>
      </c>
      <c r="J3" s="344" t="s">
        <v>116</v>
      </c>
      <c r="K3" s="344" t="s">
        <v>437</v>
      </c>
      <c r="L3" s="344" t="s">
        <v>437</v>
      </c>
      <c r="M3" s="345"/>
      <c r="N3"/>
      <c r="P3"/>
      <c r="Q3" s="89"/>
      <c r="U3"/>
      <c r="V3"/>
      <c r="X3"/>
      <c r="AA3"/>
    </row>
    <row r="4" spans="2:27" ht="43.5">
      <c r="B4" s="346">
        <f t="shared" si="0"/>
        <v>2</v>
      </c>
      <c r="C4" s="347" t="s">
        <v>8298</v>
      </c>
      <c r="D4" s="344" t="s">
        <v>127</v>
      </c>
      <c r="E4" s="344" t="s">
        <v>5</v>
      </c>
      <c r="F4" s="390" t="s">
        <v>8377</v>
      </c>
      <c r="G4" s="344" t="s">
        <v>8198</v>
      </c>
      <c r="H4" s="344" t="s">
        <v>8253</v>
      </c>
      <c r="I4" s="344" t="s">
        <v>127</v>
      </c>
      <c r="J4" s="344" t="s">
        <v>127</v>
      </c>
      <c r="K4" s="344" t="s">
        <v>116</v>
      </c>
      <c r="L4" s="344" t="s">
        <v>116</v>
      </c>
      <c r="M4" s="348"/>
      <c r="N4"/>
      <c r="P4"/>
      <c r="Q4" s="89"/>
      <c r="U4"/>
      <c r="V4"/>
      <c r="X4"/>
      <c r="AA4"/>
    </row>
    <row r="5" spans="2:27" ht="43.5">
      <c r="B5" s="346">
        <f t="shared" si="0"/>
        <v>3</v>
      </c>
      <c r="C5" s="347" t="s">
        <v>8334</v>
      </c>
      <c r="D5" s="344" t="s">
        <v>205</v>
      </c>
      <c r="E5" s="344" t="s">
        <v>7</v>
      </c>
      <c r="F5" s="390" t="s">
        <v>5700</v>
      </c>
      <c r="G5" s="344" t="s">
        <v>2379</v>
      </c>
      <c r="H5" s="344" t="s">
        <v>8254</v>
      </c>
      <c r="I5" s="344" t="s">
        <v>205</v>
      </c>
      <c r="J5" s="344" t="s">
        <v>205</v>
      </c>
      <c r="K5" s="344" t="s">
        <v>127</v>
      </c>
      <c r="L5" s="344" t="s">
        <v>127</v>
      </c>
      <c r="M5" s="345"/>
      <c r="N5"/>
      <c r="P5"/>
      <c r="Q5" s="89"/>
      <c r="U5"/>
      <c r="V5"/>
      <c r="X5"/>
      <c r="AA5"/>
    </row>
    <row r="6" spans="2:27" ht="44.25" thickBot="1">
      <c r="B6" s="353">
        <f t="shared" si="0"/>
        <v>4</v>
      </c>
      <c r="C6" s="354" t="s">
        <v>8335</v>
      </c>
      <c r="D6" s="355" t="s">
        <v>96</v>
      </c>
      <c r="E6" s="355" t="s">
        <v>54</v>
      </c>
      <c r="F6" s="391" t="s">
        <v>8391</v>
      </c>
      <c r="G6" s="355" t="s">
        <v>2379</v>
      </c>
      <c r="H6" s="355" t="s">
        <v>8255</v>
      </c>
      <c r="I6" s="355" t="s">
        <v>96</v>
      </c>
      <c r="J6" s="355" t="s">
        <v>96</v>
      </c>
      <c r="K6" s="355" t="s">
        <v>8239</v>
      </c>
      <c r="L6" s="355" t="s">
        <v>96</v>
      </c>
      <c r="M6" s="356" t="s">
        <v>8395</v>
      </c>
      <c r="N6"/>
      <c r="P6"/>
      <c r="Q6" s="89"/>
      <c r="U6"/>
      <c r="V6"/>
      <c r="X6"/>
      <c r="AA6"/>
    </row>
    <row r="7" spans="2:27" ht="43.5">
      <c r="B7" s="346">
        <f t="shared" si="0"/>
        <v>5</v>
      </c>
      <c r="C7" s="347" t="s">
        <v>8320</v>
      </c>
      <c r="D7" s="344" t="s">
        <v>16</v>
      </c>
      <c r="E7" s="344" t="s">
        <v>15</v>
      </c>
      <c r="F7" s="411" t="s">
        <v>8378</v>
      </c>
      <c r="G7" s="344" t="s">
        <v>2379</v>
      </c>
      <c r="H7" s="344" t="s">
        <v>8258</v>
      </c>
      <c r="I7" s="344" t="s">
        <v>16</v>
      </c>
      <c r="J7" s="344" t="s">
        <v>16</v>
      </c>
      <c r="K7" s="344" t="s">
        <v>8240</v>
      </c>
      <c r="L7" s="344" t="s">
        <v>16</v>
      </c>
      <c r="M7" s="345" t="s">
        <v>8396</v>
      </c>
      <c r="N7"/>
      <c r="P7"/>
      <c r="Q7" s="89"/>
      <c r="U7"/>
      <c r="V7"/>
      <c r="X7"/>
      <c r="AA7"/>
    </row>
    <row r="8" spans="2:27" ht="43.5">
      <c r="B8" s="346">
        <f t="shared" si="0"/>
        <v>6</v>
      </c>
      <c r="C8" s="347" t="s">
        <v>8299</v>
      </c>
      <c r="D8" s="344" t="s">
        <v>12</v>
      </c>
      <c r="E8" s="344" t="s">
        <v>11</v>
      </c>
      <c r="F8" s="390" t="s">
        <v>8379</v>
      </c>
      <c r="G8" s="344" t="s">
        <v>2379</v>
      </c>
      <c r="H8" s="344" t="s">
        <v>8256</v>
      </c>
      <c r="I8" s="344" t="s">
        <v>12</v>
      </c>
      <c r="J8" s="344" t="s">
        <v>12</v>
      </c>
      <c r="K8" s="344" t="s">
        <v>173</v>
      </c>
      <c r="L8" s="344" t="s">
        <v>165</v>
      </c>
      <c r="M8" s="348"/>
      <c r="N8"/>
      <c r="P8"/>
      <c r="Q8" s="89"/>
      <c r="U8"/>
      <c r="V8"/>
      <c r="X8"/>
      <c r="AA8"/>
    </row>
    <row r="9" spans="2:27" ht="43.5">
      <c r="B9" s="346">
        <f t="shared" si="0"/>
        <v>7</v>
      </c>
      <c r="C9" s="347" t="s">
        <v>8336</v>
      </c>
      <c r="D9" s="344" t="s">
        <v>14</v>
      </c>
      <c r="E9" s="344" t="s">
        <v>13</v>
      </c>
      <c r="F9" s="390" t="s">
        <v>8380</v>
      </c>
      <c r="G9" s="344" t="s">
        <v>2379</v>
      </c>
      <c r="H9" s="344" t="s">
        <v>8257</v>
      </c>
      <c r="I9" s="344" t="s">
        <v>14</v>
      </c>
      <c r="J9" s="344" t="s">
        <v>14</v>
      </c>
      <c r="K9" s="344" t="s">
        <v>180</v>
      </c>
      <c r="L9" s="344" t="s">
        <v>12</v>
      </c>
      <c r="M9" s="345"/>
      <c r="N9"/>
      <c r="P9"/>
      <c r="Q9" s="89"/>
      <c r="U9"/>
      <c r="V9"/>
      <c r="X9"/>
      <c r="AA9"/>
    </row>
    <row r="10" spans="2:27" ht="44.25" thickBot="1">
      <c r="B10" s="353">
        <f t="shared" si="0"/>
        <v>8</v>
      </c>
      <c r="C10" s="354" t="s">
        <v>8337</v>
      </c>
      <c r="D10" s="355" t="s">
        <v>57</v>
      </c>
      <c r="E10" s="355" t="s">
        <v>56</v>
      </c>
      <c r="F10" s="391" t="s">
        <v>8381</v>
      </c>
      <c r="G10" s="355" t="s">
        <v>2379</v>
      </c>
      <c r="H10" s="355" t="s">
        <v>8258</v>
      </c>
      <c r="I10" s="355" t="s">
        <v>57</v>
      </c>
      <c r="J10" s="355" t="s">
        <v>57</v>
      </c>
      <c r="K10" s="355" t="s">
        <v>251</v>
      </c>
      <c r="L10" s="355" t="s">
        <v>57</v>
      </c>
      <c r="M10" s="356"/>
      <c r="N10"/>
      <c r="P10"/>
      <c r="Q10" s="89"/>
      <c r="U10"/>
      <c r="V10"/>
      <c r="X10"/>
      <c r="AA10"/>
    </row>
    <row r="11" spans="2:27" ht="43.5">
      <c r="B11" s="357">
        <f t="shared" si="0"/>
        <v>9</v>
      </c>
      <c r="C11" s="347" t="s">
        <v>8300</v>
      </c>
      <c r="D11" s="359" t="s">
        <v>113</v>
      </c>
      <c r="E11" s="359" t="s">
        <v>21</v>
      </c>
      <c r="F11" s="390" t="s">
        <v>8382</v>
      </c>
      <c r="G11" s="359" t="s">
        <v>2379</v>
      </c>
      <c r="H11" s="359" t="s">
        <v>8261</v>
      </c>
      <c r="I11" s="359" t="s">
        <v>113</v>
      </c>
      <c r="J11" s="359" t="s">
        <v>113</v>
      </c>
      <c r="K11" s="359" t="s">
        <v>440</v>
      </c>
      <c r="L11" s="359" t="s">
        <v>439</v>
      </c>
      <c r="M11" s="360"/>
      <c r="N11"/>
      <c r="P11"/>
      <c r="U11"/>
      <c r="V11"/>
      <c r="X11"/>
      <c r="AA11"/>
    </row>
    <row r="12" spans="2:27" ht="43.5">
      <c r="B12" s="346">
        <f t="shared" si="0"/>
        <v>10</v>
      </c>
      <c r="C12" s="347" t="s">
        <v>8302</v>
      </c>
      <c r="D12" s="344" t="s">
        <v>18</v>
      </c>
      <c r="E12" s="344" t="s">
        <v>17</v>
      </c>
      <c r="F12" s="390" t="s">
        <v>3719</v>
      </c>
      <c r="G12" s="344" t="s">
        <v>2379</v>
      </c>
      <c r="H12" s="344" t="s">
        <v>8259</v>
      </c>
      <c r="I12" s="344" t="s">
        <v>18</v>
      </c>
      <c r="J12" s="344" t="s">
        <v>18</v>
      </c>
      <c r="K12" s="344" t="s">
        <v>22</v>
      </c>
      <c r="L12" s="344" t="s">
        <v>113</v>
      </c>
      <c r="M12" s="345"/>
      <c r="N12"/>
      <c r="P12"/>
      <c r="U12"/>
      <c r="V12"/>
      <c r="X12"/>
      <c r="AA12"/>
    </row>
    <row r="13" spans="2:27" ht="43.5">
      <c r="B13" s="346">
        <f t="shared" si="0"/>
        <v>11</v>
      </c>
      <c r="C13" s="347" t="s">
        <v>8338</v>
      </c>
      <c r="D13" s="344" t="s">
        <v>217</v>
      </c>
      <c r="E13" s="344" t="s">
        <v>19</v>
      </c>
      <c r="F13" s="390" t="s">
        <v>6150</v>
      </c>
      <c r="G13" s="344" t="s">
        <v>2379</v>
      </c>
      <c r="H13" s="344" t="s">
        <v>8260</v>
      </c>
      <c r="I13" s="344" t="s">
        <v>217</v>
      </c>
      <c r="J13" s="344" t="s">
        <v>217</v>
      </c>
      <c r="K13" s="344" t="s">
        <v>169</v>
      </c>
      <c r="L13" s="344" t="s">
        <v>18</v>
      </c>
      <c r="M13" s="345"/>
      <c r="N13"/>
      <c r="P13"/>
      <c r="U13"/>
      <c r="V13"/>
      <c r="X13"/>
      <c r="AA13"/>
    </row>
    <row r="14" spans="2:27" ht="44.25" thickBot="1">
      <c r="B14" s="353">
        <f t="shared" si="0"/>
        <v>12</v>
      </c>
      <c r="C14" s="382" t="s">
        <v>8201</v>
      </c>
      <c r="D14" s="355" t="s">
        <v>94</v>
      </c>
      <c r="E14" s="355" t="s">
        <v>58</v>
      </c>
      <c r="F14" s="391" t="s">
        <v>8390</v>
      </c>
      <c r="G14" s="355" t="s">
        <v>2379</v>
      </c>
      <c r="H14" s="355" t="s">
        <v>8261</v>
      </c>
      <c r="I14" s="355" t="s">
        <v>94</v>
      </c>
      <c r="J14" s="355" t="s">
        <v>94</v>
      </c>
      <c r="K14" s="355" t="s">
        <v>8241</v>
      </c>
      <c r="L14" s="355" t="s">
        <v>94</v>
      </c>
      <c r="M14" s="356" t="s">
        <v>8397</v>
      </c>
      <c r="N14"/>
      <c r="P14"/>
      <c r="U14"/>
      <c r="V14"/>
      <c r="X14"/>
      <c r="AA14"/>
    </row>
    <row r="15" spans="2:27" ht="43.5">
      <c r="B15" s="357">
        <f t="shared" si="0"/>
        <v>13</v>
      </c>
      <c r="C15" s="358" t="s">
        <v>8341</v>
      </c>
      <c r="D15" s="359" t="s">
        <v>139</v>
      </c>
      <c r="E15" s="359" t="s">
        <v>27</v>
      </c>
      <c r="F15" s="392" t="s">
        <v>8383</v>
      </c>
      <c r="G15" s="359" t="s">
        <v>2379</v>
      </c>
      <c r="H15" s="359" t="s">
        <v>8237</v>
      </c>
      <c r="I15" s="359" t="s">
        <v>139</v>
      </c>
      <c r="J15" s="359" t="s">
        <v>139</v>
      </c>
      <c r="K15" s="359" t="s">
        <v>443</v>
      </c>
      <c r="L15" s="359" t="s">
        <v>442</v>
      </c>
      <c r="M15" s="360"/>
      <c r="N15"/>
      <c r="P15"/>
      <c r="U15"/>
      <c r="V15"/>
      <c r="X15"/>
      <c r="AA15"/>
    </row>
    <row r="16" spans="2:27" ht="43.5">
      <c r="B16" s="346">
        <f t="shared" si="0"/>
        <v>14</v>
      </c>
      <c r="C16" s="347" t="s">
        <v>8339</v>
      </c>
      <c r="D16" s="344" t="s">
        <v>111</v>
      </c>
      <c r="E16" s="344" t="s">
        <v>23</v>
      </c>
      <c r="F16" s="390" t="s">
        <v>8393</v>
      </c>
      <c r="G16" s="344" t="s">
        <v>2379</v>
      </c>
      <c r="H16" s="344" t="s">
        <v>8262</v>
      </c>
      <c r="I16" s="344" t="s">
        <v>8325</v>
      </c>
      <c r="J16" s="344" t="s">
        <v>8327</v>
      </c>
      <c r="K16" s="344" t="s">
        <v>194</v>
      </c>
      <c r="L16" s="344" t="s">
        <v>111</v>
      </c>
      <c r="M16" s="345"/>
      <c r="N16"/>
      <c r="P16"/>
      <c r="U16"/>
      <c r="V16"/>
      <c r="X16"/>
      <c r="AA16"/>
    </row>
    <row r="17" spans="2:27" ht="43.5">
      <c r="B17" s="346">
        <f t="shared" si="0"/>
        <v>15</v>
      </c>
      <c r="C17" s="347" t="s">
        <v>8340</v>
      </c>
      <c r="D17" s="344" t="s">
        <v>163</v>
      </c>
      <c r="E17" s="344" t="s">
        <v>25</v>
      </c>
      <c r="F17" s="390" t="s">
        <v>8384</v>
      </c>
      <c r="G17" s="344" t="s">
        <v>2379</v>
      </c>
      <c r="H17" s="344" t="s">
        <v>8263</v>
      </c>
      <c r="I17" s="344" t="s">
        <v>8326</v>
      </c>
      <c r="J17" s="344" t="s">
        <v>8328</v>
      </c>
      <c r="K17" s="344" t="s">
        <v>157</v>
      </c>
      <c r="L17" s="344" t="s">
        <v>163</v>
      </c>
      <c r="M17" s="345"/>
      <c r="N17"/>
      <c r="P17"/>
      <c r="U17"/>
      <c r="V17"/>
      <c r="X17"/>
      <c r="AA17"/>
    </row>
    <row r="18" spans="2:27" ht="44.25" thickBot="1">
      <c r="B18" s="353">
        <f t="shared" si="0"/>
        <v>16</v>
      </c>
      <c r="C18" s="354" t="s">
        <v>8303</v>
      </c>
      <c r="D18" s="355" t="s">
        <v>179</v>
      </c>
      <c r="E18" s="355" t="s">
        <v>29</v>
      </c>
      <c r="F18" s="391" t="s">
        <v>8385</v>
      </c>
      <c r="G18" s="355" t="s">
        <v>2379</v>
      </c>
      <c r="H18" s="355" t="s">
        <v>8264</v>
      </c>
      <c r="I18" s="355" t="s">
        <v>179</v>
      </c>
      <c r="J18" s="355" t="s">
        <v>179</v>
      </c>
      <c r="K18" s="355" t="s">
        <v>30</v>
      </c>
      <c r="L18" s="355" t="s">
        <v>179</v>
      </c>
      <c r="M18" s="356"/>
      <c r="N18"/>
      <c r="P18"/>
      <c r="U18"/>
      <c r="V18"/>
      <c r="X18"/>
      <c r="AA18"/>
    </row>
    <row r="19" spans="2:27" ht="44.25" thickBot="1">
      <c r="B19" s="363">
        <f t="shared" si="0"/>
        <v>17</v>
      </c>
      <c r="C19" s="364" t="s">
        <v>8304</v>
      </c>
      <c r="D19" s="365" t="s">
        <v>219</v>
      </c>
      <c r="E19" s="365" t="s">
        <v>31</v>
      </c>
      <c r="F19" s="391" t="s">
        <v>8394</v>
      </c>
      <c r="G19" s="365" t="s">
        <v>2379</v>
      </c>
      <c r="H19" s="365" t="s">
        <v>8265</v>
      </c>
      <c r="I19" s="365" t="s">
        <v>219</v>
      </c>
      <c r="J19" s="365" t="s">
        <v>219</v>
      </c>
      <c r="K19" s="365" t="s">
        <v>32</v>
      </c>
      <c r="L19" s="365" t="s">
        <v>219</v>
      </c>
      <c r="M19" s="366" t="s">
        <v>8207</v>
      </c>
      <c r="N19"/>
      <c r="P19"/>
      <c r="U19"/>
      <c r="V19"/>
      <c r="X19"/>
      <c r="AA19"/>
    </row>
    <row r="20" spans="2:27" ht="43.5">
      <c r="B20" s="357">
        <f t="shared" si="0"/>
        <v>18</v>
      </c>
      <c r="C20" s="358" t="s">
        <v>8344</v>
      </c>
      <c r="D20" s="359" t="s">
        <v>232</v>
      </c>
      <c r="E20" s="359" t="s">
        <v>77</v>
      </c>
      <c r="F20" s="393" t="s">
        <v>8386</v>
      </c>
      <c r="G20" s="359" t="s">
        <v>2379</v>
      </c>
      <c r="H20" s="361" t="s">
        <v>2689</v>
      </c>
      <c r="I20" s="359" t="s">
        <v>232</v>
      </c>
      <c r="J20" s="359" t="s">
        <v>232</v>
      </c>
      <c r="K20" s="359"/>
      <c r="L20" s="359" t="s">
        <v>8215</v>
      </c>
      <c r="M20" s="360"/>
      <c r="N20"/>
      <c r="P20"/>
      <c r="U20"/>
      <c r="V20"/>
      <c r="X20"/>
      <c r="AA20"/>
    </row>
    <row r="21" spans="2:27" ht="43.5">
      <c r="B21" s="346">
        <f t="shared" si="0"/>
        <v>19</v>
      </c>
      <c r="C21" s="347" t="s">
        <v>8342</v>
      </c>
      <c r="D21" s="344" t="s">
        <v>8187</v>
      </c>
      <c r="E21" s="344" t="s">
        <v>60</v>
      </c>
      <c r="F21" s="390" t="s">
        <v>8387</v>
      </c>
      <c r="G21" s="344" t="s">
        <v>2379</v>
      </c>
      <c r="H21" s="352" t="s">
        <v>1654</v>
      </c>
      <c r="I21" s="344" t="s">
        <v>8187</v>
      </c>
      <c r="J21" s="344" t="s">
        <v>8187</v>
      </c>
      <c r="K21" s="344"/>
      <c r="L21" s="344" t="s">
        <v>139</v>
      </c>
      <c r="M21" s="345"/>
      <c r="N21"/>
      <c r="P21"/>
      <c r="U21"/>
      <c r="V21"/>
      <c r="X21"/>
      <c r="AA21"/>
    </row>
    <row r="22" spans="2:27" ht="43.5">
      <c r="B22" s="346">
        <f t="shared" si="0"/>
        <v>20</v>
      </c>
      <c r="C22" s="347" t="s">
        <v>8343</v>
      </c>
      <c r="D22" s="344" t="s">
        <v>221</v>
      </c>
      <c r="E22" s="344" t="s">
        <v>62</v>
      </c>
      <c r="F22" s="390" t="s">
        <v>8388</v>
      </c>
      <c r="G22" s="344" t="s">
        <v>2379</v>
      </c>
      <c r="H22" s="352" t="s">
        <v>2974</v>
      </c>
      <c r="I22" s="344" t="s">
        <v>221</v>
      </c>
      <c r="J22" s="344" t="s">
        <v>221</v>
      </c>
      <c r="K22" s="344"/>
      <c r="L22" s="344" t="s">
        <v>238</v>
      </c>
      <c r="M22" s="345"/>
      <c r="N22"/>
      <c r="P22"/>
      <c r="U22"/>
      <c r="V22"/>
      <c r="X22"/>
      <c r="AA22"/>
    </row>
    <row r="23" spans="2:27" ht="44.25" thickBot="1">
      <c r="B23" s="353">
        <f t="shared" si="0"/>
        <v>21</v>
      </c>
      <c r="C23" s="383" t="s">
        <v>8345</v>
      </c>
      <c r="D23" s="355" t="s">
        <v>223</v>
      </c>
      <c r="E23" s="355" t="s">
        <v>154</v>
      </c>
      <c r="F23" s="391" t="s">
        <v>8389</v>
      </c>
      <c r="G23" s="355" t="s">
        <v>2379</v>
      </c>
      <c r="H23" s="362" t="s">
        <v>4794</v>
      </c>
      <c r="I23" s="355" t="s">
        <v>223</v>
      </c>
      <c r="J23" s="355" t="s">
        <v>223</v>
      </c>
      <c r="K23" s="355"/>
      <c r="L23" s="355" t="s">
        <v>8216</v>
      </c>
      <c r="M23" s="356"/>
      <c r="N23"/>
      <c r="P23"/>
      <c r="U23"/>
      <c r="V23"/>
      <c r="X23"/>
      <c r="AA23"/>
    </row>
    <row r="24" spans="2:27" ht="43.5">
      <c r="B24" s="367">
        <f t="shared" si="0"/>
        <v>22</v>
      </c>
      <c r="C24" s="368" t="s">
        <v>8305</v>
      </c>
      <c r="D24" s="369" t="s">
        <v>186</v>
      </c>
      <c r="E24" s="369" t="s">
        <v>37</v>
      </c>
      <c r="F24" s="390" t="s">
        <v>1053</v>
      </c>
      <c r="G24" s="369" t="s">
        <v>7662</v>
      </c>
      <c r="H24" s="369" t="s">
        <v>8398</v>
      </c>
      <c r="I24" s="369" t="s">
        <v>186</v>
      </c>
      <c r="J24" s="369" t="s">
        <v>186</v>
      </c>
      <c r="K24" s="369" t="s">
        <v>38</v>
      </c>
      <c r="L24" s="369" t="s">
        <v>186</v>
      </c>
      <c r="M24" s="370"/>
      <c r="N24"/>
      <c r="P24"/>
      <c r="U24"/>
      <c r="V24"/>
      <c r="X24"/>
      <c r="AA24"/>
    </row>
    <row r="25" spans="2:27" ht="44.25" thickBot="1">
      <c r="B25" s="353">
        <f t="shared" si="0"/>
        <v>23</v>
      </c>
      <c r="C25" s="383" t="s">
        <v>8306</v>
      </c>
      <c r="D25" s="355" t="s">
        <v>151</v>
      </c>
      <c r="E25" s="355" t="s">
        <v>239</v>
      </c>
      <c r="F25" s="391" t="s">
        <v>8411</v>
      </c>
      <c r="G25" s="355" t="s">
        <v>8200</v>
      </c>
      <c r="H25" s="362" t="s">
        <v>8403</v>
      </c>
      <c r="I25" s="355" t="s">
        <v>151</v>
      </c>
      <c r="J25" s="355" t="s">
        <v>151</v>
      </c>
      <c r="K25" s="355" t="s">
        <v>34</v>
      </c>
      <c r="L25" s="355" t="s">
        <v>151</v>
      </c>
      <c r="M25" s="356"/>
      <c r="N25"/>
      <c r="P25"/>
      <c r="U25"/>
      <c r="V25"/>
      <c r="X25"/>
      <c r="AA25"/>
    </row>
    <row r="26" spans="2:27" ht="44.25" thickBot="1">
      <c r="B26" s="353">
        <f t="shared" si="0"/>
        <v>24</v>
      </c>
      <c r="C26" s="383" t="s">
        <v>8364</v>
      </c>
      <c r="D26" s="355" t="s">
        <v>259</v>
      </c>
      <c r="E26" s="355" t="s">
        <v>8412</v>
      </c>
      <c r="F26" s="391" t="s">
        <v>8406</v>
      </c>
      <c r="G26" s="355" t="s">
        <v>8200</v>
      </c>
      <c r="H26" s="412"/>
      <c r="I26" s="355" t="s">
        <v>259</v>
      </c>
      <c r="J26" s="355" t="s">
        <v>259</v>
      </c>
      <c r="K26" s="355" t="s">
        <v>8246</v>
      </c>
      <c r="L26" s="355" t="s">
        <v>259</v>
      </c>
      <c r="M26" s="356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97" t="s">
        <v>3307</v>
      </c>
      <c r="G27" s="213" t="s">
        <v>7662</v>
      </c>
      <c r="H27" s="394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97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86" t="s">
        <v>8365</v>
      </c>
      <c r="D29" s="213" t="s">
        <v>183</v>
      </c>
      <c r="E29" s="213" t="s">
        <v>43</v>
      </c>
      <c r="F29" s="397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71">
        <f t="shared" si="0"/>
        <v>28</v>
      </c>
      <c r="C30" s="372" t="s">
        <v>42</v>
      </c>
      <c r="D30" s="373" t="s">
        <v>41</v>
      </c>
      <c r="E30" s="373" t="s">
        <v>244</v>
      </c>
      <c r="F30" s="398" t="s">
        <v>5467</v>
      </c>
      <c r="G30" s="373" t="s">
        <v>7662</v>
      </c>
      <c r="H30" s="373" t="s">
        <v>5074</v>
      </c>
      <c r="I30" s="373" t="s">
        <v>41</v>
      </c>
      <c r="J30" s="373" t="s">
        <v>41</v>
      </c>
      <c r="K30" s="373" t="s">
        <v>42</v>
      </c>
      <c r="L30" s="373" t="s">
        <v>445</v>
      </c>
      <c r="M30" s="374" t="s">
        <v>8462</v>
      </c>
      <c r="N30"/>
      <c r="P30"/>
      <c r="U30"/>
      <c r="V30"/>
      <c r="X30"/>
      <c r="AA30"/>
    </row>
    <row r="31" spans="2:27" ht="43.5">
      <c r="B31" s="367">
        <f t="shared" si="0"/>
        <v>29</v>
      </c>
      <c r="C31" s="368" t="s">
        <v>8361</v>
      </c>
      <c r="D31" s="454" t="s">
        <v>8438</v>
      </c>
      <c r="E31" s="406" t="s">
        <v>8420</v>
      </c>
      <c r="F31" s="407" t="s">
        <v>3887</v>
      </c>
      <c r="G31" s="408" t="s">
        <v>7662</v>
      </c>
      <c r="H31" s="408" t="s">
        <v>3887</v>
      </c>
      <c r="I31" s="406" t="s">
        <v>96</v>
      </c>
      <c r="J31" s="406" t="s">
        <v>96</v>
      </c>
      <c r="K31" s="406" t="s">
        <v>55</v>
      </c>
      <c r="L31" s="406" t="s">
        <v>96</v>
      </c>
      <c r="M31" s="409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55" t="s">
        <v>8440</v>
      </c>
      <c r="E32" s="213" t="s">
        <v>50</v>
      </c>
      <c r="F32" s="397" t="s">
        <v>8407</v>
      </c>
      <c r="G32" s="213" t="s">
        <v>7662</v>
      </c>
      <c r="H32" s="395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71">
        <f t="shared" si="0"/>
        <v>31</v>
      </c>
      <c r="C33" s="385" t="s">
        <v>8362</v>
      </c>
      <c r="D33" s="456" t="s">
        <v>8441</v>
      </c>
      <c r="E33" s="373" t="s">
        <v>48</v>
      </c>
      <c r="F33" s="398" t="s">
        <v>4928</v>
      </c>
      <c r="G33" s="373" t="s">
        <v>7662</v>
      </c>
      <c r="H33" s="373" t="s">
        <v>7221</v>
      </c>
      <c r="I33" s="373" t="s">
        <v>94</v>
      </c>
      <c r="J33" s="373" t="s">
        <v>94</v>
      </c>
      <c r="K33" s="373" t="s">
        <v>59</v>
      </c>
      <c r="L33" s="373" t="s">
        <v>94</v>
      </c>
      <c r="M33" s="374" t="s">
        <v>8228</v>
      </c>
      <c r="N33"/>
      <c r="P33"/>
      <c r="U33"/>
      <c r="V33"/>
      <c r="X33"/>
      <c r="AA33"/>
    </row>
    <row r="34" spans="2:27" ht="43.5">
      <c r="B34" s="357">
        <f t="shared" si="0"/>
        <v>32</v>
      </c>
      <c r="C34" s="358" t="s">
        <v>8360</v>
      </c>
      <c r="D34" s="359" t="s">
        <v>175</v>
      </c>
      <c r="E34" s="359" t="s">
        <v>136</v>
      </c>
      <c r="F34" s="399" t="s">
        <v>1084</v>
      </c>
      <c r="G34" s="359" t="s">
        <v>7662</v>
      </c>
      <c r="H34" s="359" t="s">
        <v>1179</v>
      </c>
      <c r="I34" s="359" t="s">
        <v>175</v>
      </c>
      <c r="J34" s="359" t="s">
        <v>175</v>
      </c>
      <c r="K34" s="359" t="s">
        <v>46</v>
      </c>
      <c r="L34" s="359" t="s">
        <v>175</v>
      </c>
      <c r="M34" s="360"/>
      <c r="N34"/>
      <c r="P34"/>
      <c r="U34"/>
      <c r="V34"/>
      <c r="X34"/>
      <c r="AA34"/>
    </row>
    <row r="35" spans="2:27" ht="43.5">
      <c r="B35" s="346">
        <f t="shared" ref="B35:B57" si="1" xml:space="preserve"> ROW() - 2</f>
        <v>33</v>
      </c>
      <c r="C35" s="347" t="s">
        <v>8363</v>
      </c>
      <c r="D35" s="344" t="s">
        <v>172</v>
      </c>
      <c r="E35" s="344" t="s">
        <v>47</v>
      </c>
      <c r="F35" s="400" t="s">
        <v>2268</v>
      </c>
      <c r="G35" s="344" t="s">
        <v>7662</v>
      </c>
      <c r="H35" s="344" t="s">
        <v>660</v>
      </c>
      <c r="I35" s="344" t="s">
        <v>172</v>
      </c>
      <c r="J35" s="344" t="s">
        <v>172</v>
      </c>
      <c r="K35" s="344" t="s">
        <v>8249</v>
      </c>
      <c r="L35" s="344" t="s">
        <v>172</v>
      </c>
      <c r="M35" s="345"/>
      <c r="N35"/>
      <c r="O35" s="89"/>
      <c r="P35"/>
      <c r="U35"/>
      <c r="V35"/>
      <c r="X35"/>
      <c r="AA35"/>
    </row>
    <row r="36" spans="2:27" ht="43.5">
      <c r="B36" s="346">
        <f t="shared" si="1"/>
        <v>34</v>
      </c>
      <c r="C36" s="347" t="s">
        <v>8357</v>
      </c>
      <c r="D36" s="344" t="s">
        <v>124</v>
      </c>
      <c r="E36" s="344" t="s">
        <v>68</v>
      </c>
      <c r="F36" s="400" t="s">
        <v>1463</v>
      </c>
      <c r="G36" s="344" t="s">
        <v>7662</v>
      </c>
      <c r="H36" s="344" t="s">
        <v>8400</v>
      </c>
      <c r="I36" s="344" t="s">
        <v>124</v>
      </c>
      <c r="J36" s="344" t="s">
        <v>124</v>
      </c>
      <c r="K36" s="344" t="s">
        <v>69</v>
      </c>
      <c r="L36" s="344" t="s">
        <v>124</v>
      </c>
      <c r="M36" s="345" t="s">
        <v>8219</v>
      </c>
      <c r="N36"/>
      <c r="O36" s="89"/>
      <c r="P36"/>
      <c r="U36"/>
      <c r="V36"/>
      <c r="X36"/>
      <c r="AA36"/>
    </row>
    <row r="37" spans="2:27" ht="43.5">
      <c r="B37" s="346">
        <f t="shared" si="1"/>
        <v>35</v>
      </c>
      <c r="C37" s="347" t="s">
        <v>8358</v>
      </c>
      <c r="D37" s="344" t="s">
        <v>110</v>
      </c>
      <c r="E37" s="344" t="s">
        <v>66</v>
      </c>
      <c r="F37" s="400" t="s">
        <v>695</v>
      </c>
      <c r="G37" s="344" t="s">
        <v>7662</v>
      </c>
      <c r="H37" s="344" t="s">
        <v>8401</v>
      </c>
      <c r="I37" s="344" t="s">
        <v>110</v>
      </c>
      <c r="J37" s="344" t="s">
        <v>110</v>
      </c>
      <c r="K37" s="344" t="s">
        <v>67</v>
      </c>
      <c r="L37" s="344" t="s">
        <v>110</v>
      </c>
      <c r="M37" s="345"/>
      <c r="N37"/>
      <c r="P37"/>
      <c r="U37"/>
      <c r="V37"/>
      <c r="X37"/>
      <c r="AA37"/>
    </row>
    <row r="38" spans="2:27" ht="44.25" thickBot="1">
      <c r="B38" s="353">
        <f t="shared" si="1"/>
        <v>36</v>
      </c>
      <c r="C38" s="354" t="s">
        <v>8359</v>
      </c>
      <c r="D38" s="355" t="s">
        <v>104</v>
      </c>
      <c r="E38" s="355" t="s">
        <v>64</v>
      </c>
      <c r="F38" s="401" t="s">
        <v>801</v>
      </c>
      <c r="G38" s="355" t="s">
        <v>7662</v>
      </c>
      <c r="H38" s="355" t="s">
        <v>8402</v>
      </c>
      <c r="I38" s="355" t="s">
        <v>104</v>
      </c>
      <c r="J38" s="355" t="s">
        <v>104</v>
      </c>
      <c r="K38" s="355" t="s">
        <v>65</v>
      </c>
      <c r="L38" s="355" t="s">
        <v>104</v>
      </c>
      <c r="M38" s="356"/>
      <c r="N38"/>
      <c r="P38"/>
      <c r="U38"/>
      <c r="V38"/>
      <c r="X38"/>
      <c r="AA38"/>
    </row>
    <row r="39" spans="2:27" ht="43.5">
      <c r="B39" s="357">
        <f t="shared" si="1"/>
        <v>37</v>
      </c>
      <c r="C39" s="388" t="s">
        <v>8367</v>
      </c>
      <c r="D39" s="359" t="s">
        <v>123</v>
      </c>
      <c r="E39" s="359" t="s">
        <v>87</v>
      </c>
      <c r="F39" s="403" t="s">
        <v>8410</v>
      </c>
      <c r="G39" s="359" t="s">
        <v>7662</v>
      </c>
      <c r="H39" s="359" t="s">
        <v>6894</v>
      </c>
      <c r="I39" s="359" t="s">
        <v>123</v>
      </c>
      <c r="J39" s="359" t="s">
        <v>123</v>
      </c>
      <c r="K39" s="359" t="s">
        <v>53</v>
      </c>
      <c r="L39" s="359" t="s">
        <v>123</v>
      </c>
      <c r="M39" s="360" t="s">
        <v>8219</v>
      </c>
      <c r="N39"/>
      <c r="P39"/>
      <c r="U39"/>
      <c r="V39"/>
      <c r="X39"/>
      <c r="AA39"/>
    </row>
    <row r="40" spans="2:27" ht="44.25" thickBot="1">
      <c r="B40" s="353">
        <f t="shared" si="1"/>
        <v>38</v>
      </c>
      <c r="C40" s="387" t="s">
        <v>8366</v>
      </c>
      <c r="D40" s="378" t="s">
        <v>103</v>
      </c>
      <c r="E40" s="377" t="s">
        <v>70</v>
      </c>
      <c r="F40" s="402" t="s">
        <v>3656</v>
      </c>
      <c r="G40" s="377" t="s">
        <v>7662</v>
      </c>
      <c r="H40" s="377" t="s">
        <v>521</v>
      </c>
      <c r="I40" s="378" t="s">
        <v>103</v>
      </c>
      <c r="J40" s="378" t="s">
        <v>103</v>
      </c>
      <c r="K40" s="378" t="s">
        <v>71</v>
      </c>
      <c r="L40" s="378" t="s">
        <v>103</v>
      </c>
      <c r="M40" s="379" t="s">
        <v>8218</v>
      </c>
      <c r="N40"/>
      <c r="P40"/>
      <c r="U40"/>
      <c r="V40"/>
      <c r="X40"/>
      <c r="AA40"/>
    </row>
    <row r="41" spans="2:27" ht="43.5">
      <c r="B41" s="357">
        <f t="shared" si="1"/>
        <v>39</v>
      </c>
      <c r="C41" s="358" t="s">
        <v>8350</v>
      </c>
      <c r="D41" s="359" t="s">
        <v>150</v>
      </c>
      <c r="E41" s="359" t="s">
        <v>81</v>
      </c>
      <c r="F41" s="399" t="s">
        <v>2318</v>
      </c>
      <c r="G41" s="359" t="s">
        <v>7662</v>
      </c>
      <c r="H41" s="359" t="s">
        <v>8399</v>
      </c>
      <c r="I41" s="359" t="s">
        <v>150</v>
      </c>
      <c r="J41" s="359" t="s">
        <v>150</v>
      </c>
      <c r="K41" s="359" t="s">
        <v>8244</v>
      </c>
      <c r="L41" s="359" t="s">
        <v>150</v>
      </c>
      <c r="M41" s="360"/>
      <c r="N41"/>
      <c r="P41"/>
      <c r="U41"/>
      <c r="V41"/>
      <c r="X41"/>
      <c r="AA41"/>
    </row>
    <row r="42" spans="2:27" ht="43.5">
      <c r="B42" s="346">
        <f t="shared" si="1"/>
        <v>40</v>
      </c>
      <c r="C42" s="347" t="s">
        <v>8351</v>
      </c>
      <c r="D42" s="344" t="s">
        <v>256</v>
      </c>
      <c r="E42" s="344" t="s">
        <v>79</v>
      </c>
      <c r="F42" s="400" t="s">
        <v>2266</v>
      </c>
      <c r="G42" s="344" t="s">
        <v>7662</v>
      </c>
      <c r="H42" s="344" t="s">
        <v>5308</v>
      </c>
      <c r="I42" s="344" t="s">
        <v>256</v>
      </c>
      <c r="J42" s="344" t="s">
        <v>256</v>
      </c>
      <c r="K42" s="344" t="s">
        <v>8242</v>
      </c>
      <c r="L42" s="344" t="s">
        <v>256</v>
      </c>
      <c r="M42" s="345"/>
      <c r="N42"/>
      <c r="P42"/>
      <c r="U42"/>
      <c r="V42"/>
      <c r="X42"/>
      <c r="AA42"/>
    </row>
    <row r="43" spans="2:27" ht="43.5">
      <c r="B43" s="346">
        <f t="shared" si="1"/>
        <v>41</v>
      </c>
      <c r="C43" s="347" t="s">
        <v>8356</v>
      </c>
      <c r="D43" s="344" t="s">
        <v>258</v>
      </c>
      <c r="E43" s="344" t="s">
        <v>80</v>
      </c>
      <c r="F43" s="400" t="s">
        <v>8408</v>
      </c>
      <c r="G43" s="344" t="s">
        <v>7662</v>
      </c>
      <c r="H43" s="396"/>
      <c r="I43" s="344" t="s">
        <v>258</v>
      </c>
      <c r="J43" s="344" t="s">
        <v>258</v>
      </c>
      <c r="K43" s="344" t="s">
        <v>8243</v>
      </c>
      <c r="L43" s="344" t="s">
        <v>258</v>
      </c>
      <c r="M43" s="345"/>
      <c r="N43"/>
      <c r="P43"/>
      <c r="U43"/>
      <c r="V43"/>
      <c r="X43"/>
      <c r="AA43"/>
    </row>
    <row r="44" spans="2:27" ht="43.5">
      <c r="B44" s="346">
        <f t="shared" si="1"/>
        <v>42</v>
      </c>
      <c r="C44" s="347" t="s">
        <v>8353</v>
      </c>
      <c r="D44" s="344" t="s">
        <v>147</v>
      </c>
      <c r="E44" s="344" t="s">
        <v>83</v>
      </c>
      <c r="F44" s="400" t="s">
        <v>7278</v>
      </c>
      <c r="G44" s="344" t="s">
        <v>7662</v>
      </c>
      <c r="H44" s="344" t="s">
        <v>3631</v>
      </c>
      <c r="I44" s="344" t="s">
        <v>147</v>
      </c>
      <c r="J44" s="344" t="s">
        <v>147</v>
      </c>
      <c r="K44" s="344" t="s">
        <v>8247</v>
      </c>
      <c r="L44" s="344" t="s">
        <v>147</v>
      </c>
      <c r="M44" s="345"/>
      <c r="N44"/>
      <c r="P44"/>
      <c r="U44"/>
      <c r="V44"/>
      <c r="X44"/>
      <c r="AA44"/>
    </row>
    <row r="45" spans="2:27" ht="43.5">
      <c r="B45" s="346">
        <f t="shared" si="1"/>
        <v>43</v>
      </c>
      <c r="C45" s="384" t="s">
        <v>8352</v>
      </c>
      <c r="D45" s="344" t="s">
        <v>148</v>
      </c>
      <c r="E45" s="344" t="s">
        <v>85</v>
      </c>
      <c r="F45" s="404" t="s">
        <v>3231</v>
      </c>
      <c r="G45" s="344" t="s">
        <v>7662</v>
      </c>
      <c r="H45" s="344" t="s">
        <v>3891</v>
      </c>
      <c r="I45" s="344" t="s">
        <v>148</v>
      </c>
      <c r="J45" s="344" t="s">
        <v>148</v>
      </c>
      <c r="K45" s="344" t="s">
        <v>8245</v>
      </c>
      <c r="L45" s="344" t="s">
        <v>444</v>
      </c>
      <c r="M45" s="345"/>
      <c r="N45"/>
      <c r="P45"/>
      <c r="U45"/>
      <c r="V45"/>
      <c r="X45"/>
      <c r="AA45"/>
    </row>
    <row r="46" spans="2:27" ht="43.5">
      <c r="B46" s="346">
        <f t="shared" si="1"/>
        <v>44</v>
      </c>
      <c r="C46" s="347" t="s">
        <v>8354</v>
      </c>
      <c r="D46" s="344" t="s">
        <v>146</v>
      </c>
      <c r="E46" s="344" t="s">
        <v>82</v>
      </c>
      <c r="F46" s="405" t="s">
        <v>8409</v>
      </c>
      <c r="G46" s="344" t="s">
        <v>7662</v>
      </c>
      <c r="H46" s="344" t="s">
        <v>1773</v>
      </c>
      <c r="I46" s="344" t="s">
        <v>146</v>
      </c>
      <c r="J46" s="344" t="s">
        <v>146</v>
      </c>
      <c r="K46" s="344" t="s">
        <v>8248</v>
      </c>
      <c r="L46" s="344" t="s">
        <v>146</v>
      </c>
      <c r="M46" s="345"/>
      <c r="N46"/>
      <c r="P46"/>
      <c r="U46"/>
      <c r="V46"/>
      <c r="X46"/>
      <c r="AA46"/>
    </row>
    <row r="47" spans="2:27" ht="44.25" thickBot="1">
      <c r="B47" s="353">
        <f t="shared" si="1"/>
        <v>45</v>
      </c>
      <c r="C47" s="354" t="s">
        <v>8355</v>
      </c>
      <c r="D47" s="355" t="s">
        <v>144</v>
      </c>
      <c r="E47" s="355" t="s">
        <v>86</v>
      </c>
      <c r="F47" s="401" t="s">
        <v>567</v>
      </c>
      <c r="G47" s="355" t="s">
        <v>7662</v>
      </c>
      <c r="H47" s="355" t="s">
        <v>567</v>
      </c>
      <c r="I47" s="355" t="s">
        <v>144</v>
      </c>
      <c r="J47" s="355" t="s">
        <v>144</v>
      </c>
      <c r="K47" s="355" t="s">
        <v>8250</v>
      </c>
      <c r="L47" s="355" t="s">
        <v>144</v>
      </c>
      <c r="M47" s="356"/>
      <c r="N47"/>
      <c r="P47"/>
      <c r="U47"/>
      <c r="V47"/>
      <c r="X47"/>
      <c r="AA47"/>
    </row>
    <row r="48" spans="2:27" ht="32.25">
      <c r="B48" s="357">
        <f t="shared" si="1"/>
        <v>46</v>
      </c>
      <c r="C48" s="358" t="s">
        <v>8346</v>
      </c>
      <c r="D48" s="361" t="s">
        <v>8433</v>
      </c>
      <c r="E48" s="359" t="s">
        <v>90</v>
      </c>
      <c r="F48" s="446" t="s">
        <v>8425</v>
      </c>
      <c r="G48" s="359" t="s">
        <v>8203</v>
      </c>
      <c r="H48" s="413"/>
      <c r="I48" s="359" t="s">
        <v>127</v>
      </c>
      <c r="J48" s="359" t="s">
        <v>127</v>
      </c>
      <c r="K48" s="359" t="s">
        <v>6</v>
      </c>
      <c r="L48" s="359" t="s">
        <v>127</v>
      </c>
      <c r="M48" s="360" t="s">
        <v>8211</v>
      </c>
      <c r="N48"/>
      <c r="P48"/>
      <c r="U48"/>
      <c r="V48"/>
      <c r="X48"/>
      <c r="AA48"/>
    </row>
    <row r="49" spans="2:27" ht="32.25">
      <c r="B49" s="346">
        <f t="shared" si="1"/>
        <v>47</v>
      </c>
      <c r="C49" s="347" t="s">
        <v>8347</v>
      </c>
      <c r="D49" s="352" t="s">
        <v>8435</v>
      </c>
      <c r="E49" s="344" t="s">
        <v>91</v>
      </c>
      <c r="F49" s="446" t="s">
        <v>8426</v>
      </c>
      <c r="G49" s="344" t="s">
        <v>8203</v>
      </c>
      <c r="H49" s="396"/>
      <c r="I49" s="344" t="s">
        <v>12</v>
      </c>
      <c r="J49" s="344" t="s">
        <v>12</v>
      </c>
      <c r="K49" s="344" t="s">
        <v>180</v>
      </c>
      <c r="L49" s="344" t="s">
        <v>12</v>
      </c>
      <c r="M49" s="345" t="s">
        <v>8209</v>
      </c>
      <c r="N49"/>
      <c r="P49"/>
      <c r="U49"/>
      <c r="V49"/>
      <c r="X49"/>
      <c r="AA49"/>
    </row>
    <row r="50" spans="2:27" ht="32.25">
      <c r="B50" s="346">
        <f t="shared" si="1"/>
        <v>48</v>
      </c>
      <c r="C50" s="347" t="s">
        <v>8348</v>
      </c>
      <c r="D50" s="352" t="s">
        <v>8437</v>
      </c>
      <c r="E50" s="344" t="s">
        <v>92</v>
      </c>
      <c r="F50" s="446" t="s">
        <v>8427</v>
      </c>
      <c r="G50" s="344" t="s">
        <v>8203</v>
      </c>
      <c r="H50" s="396"/>
      <c r="I50" s="344" t="s">
        <v>18</v>
      </c>
      <c r="J50" s="344" t="s">
        <v>18</v>
      </c>
      <c r="K50" s="344" t="s">
        <v>169</v>
      </c>
      <c r="L50" s="344" t="s">
        <v>18</v>
      </c>
      <c r="M50" s="345" t="s">
        <v>8210</v>
      </c>
      <c r="N50"/>
      <c r="P50"/>
      <c r="U50"/>
      <c r="V50"/>
      <c r="X50"/>
      <c r="AA50"/>
    </row>
    <row r="51" spans="2:27" ht="33" thickBot="1">
      <c r="B51" s="353">
        <f t="shared" si="1"/>
        <v>49</v>
      </c>
      <c r="C51" s="383" t="s">
        <v>8349</v>
      </c>
      <c r="D51" s="362" t="s">
        <v>8437</v>
      </c>
      <c r="E51" s="355" t="s">
        <v>93</v>
      </c>
      <c r="F51" s="444" t="s">
        <v>8428</v>
      </c>
      <c r="G51" s="355" t="s">
        <v>8203</v>
      </c>
      <c r="H51" s="414"/>
      <c r="I51" s="355" t="s">
        <v>219</v>
      </c>
      <c r="J51" s="355" t="s">
        <v>219</v>
      </c>
      <c r="K51" s="355" t="s">
        <v>32</v>
      </c>
      <c r="L51" s="355" t="s">
        <v>219</v>
      </c>
      <c r="M51" s="356" t="s">
        <v>8212</v>
      </c>
      <c r="N51"/>
      <c r="P51"/>
      <c r="U51"/>
      <c r="V51"/>
      <c r="X51"/>
      <c r="AA51"/>
    </row>
    <row r="52" spans="2:27" ht="43.5">
      <c r="B52" s="462">
        <f t="shared" si="1"/>
        <v>50</v>
      </c>
      <c r="C52" s="463"/>
      <c r="D52" s="464">
        <v>0</v>
      </c>
      <c r="E52" s="464" t="s">
        <v>8368</v>
      </c>
      <c r="F52" s="445" t="s">
        <v>8450</v>
      </c>
      <c r="G52" s="464" t="s">
        <v>2179</v>
      </c>
      <c r="H52" s="465"/>
      <c r="I52" s="464">
        <v>0</v>
      </c>
      <c r="J52" s="464">
        <v>0</v>
      </c>
      <c r="K52" s="464">
        <v>0</v>
      </c>
      <c r="L52" s="464">
        <v>0</v>
      </c>
      <c r="M52" s="466" t="s">
        <v>8371</v>
      </c>
      <c r="N52"/>
      <c r="P52"/>
      <c r="U52"/>
      <c r="V52"/>
      <c r="X52"/>
      <c r="AA52"/>
    </row>
    <row r="53" spans="2:27" ht="43.5">
      <c r="B53" s="462">
        <f t="shared" si="1"/>
        <v>51</v>
      </c>
      <c r="C53" s="463" t="s">
        <v>8453</v>
      </c>
      <c r="D53" s="464">
        <v>1</v>
      </c>
      <c r="E53" s="465" t="s">
        <v>8194</v>
      </c>
      <c r="F53" s="445" t="s">
        <v>8451</v>
      </c>
      <c r="G53" s="464" t="s">
        <v>8199</v>
      </c>
      <c r="H53" s="465"/>
      <c r="I53" s="464">
        <v>1</v>
      </c>
      <c r="J53" s="464">
        <v>1</v>
      </c>
      <c r="K53" s="464">
        <v>1</v>
      </c>
      <c r="L53" s="464">
        <v>1</v>
      </c>
      <c r="M53" s="464"/>
      <c r="N53"/>
      <c r="P53"/>
      <c r="U53"/>
      <c r="V53"/>
      <c r="X53"/>
      <c r="AA53"/>
    </row>
    <row r="54" spans="2:27" ht="43.5">
      <c r="B54" s="462">
        <f t="shared" si="1"/>
        <v>52</v>
      </c>
      <c r="C54" s="463" t="s">
        <v>8457</v>
      </c>
      <c r="D54" s="464">
        <v>7</v>
      </c>
      <c r="E54" s="464" t="s">
        <v>75</v>
      </c>
      <c r="F54" s="445" t="s">
        <v>8446</v>
      </c>
      <c r="G54" s="464" t="s">
        <v>8199</v>
      </c>
      <c r="H54" s="465"/>
      <c r="I54" s="464">
        <v>7</v>
      </c>
      <c r="J54" s="464">
        <v>7</v>
      </c>
      <c r="K54" s="464">
        <v>6</v>
      </c>
      <c r="L54" s="464">
        <v>7</v>
      </c>
      <c r="M54" s="466"/>
      <c r="N54"/>
      <c r="P54"/>
      <c r="U54"/>
      <c r="V54"/>
      <c r="X54"/>
      <c r="AA54"/>
    </row>
    <row r="55" spans="2:27" ht="43.5">
      <c r="B55" s="462">
        <f t="shared" si="1"/>
        <v>53</v>
      </c>
      <c r="C55" s="463" t="s">
        <v>8455</v>
      </c>
      <c r="D55" s="464">
        <v>3</v>
      </c>
      <c r="E55" s="464" t="s">
        <v>73</v>
      </c>
      <c r="F55" s="445" t="s">
        <v>8448</v>
      </c>
      <c r="G55" s="464" t="s">
        <v>8199</v>
      </c>
      <c r="H55" s="465"/>
      <c r="I55" s="464">
        <v>3</v>
      </c>
      <c r="J55" s="464">
        <v>3</v>
      </c>
      <c r="K55" s="464">
        <v>5</v>
      </c>
      <c r="L55" s="464">
        <v>3</v>
      </c>
      <c r="M55" s="466"/>
      <c r="N55"/>
      <c r="P55"/>
      <c r="U55"/>
      <c r="V55"/>
      <c r="X55"/>
      <c r="AA55"/>
    </row>
    <row r="56" spans="2:27" ht="43.5">
      <c r="B56" s="462">
        <f t="shared" si="1"/>
        <v>54</v>
      </c>
      <c r="C56" s="463" t="s">
        <v>8454</v>
      </c>
      <c r="D56" s="464">
        <v>2</v>
      </c>
      <c r="E56" s="464" t="s">
        <v>72</v>
      </c>
      <c r="F56" s="445" t="s">
        <v>8445</v>
      </c>
      <c r="G56" s="464" t="s">
        <v>2179</v>
      </c>
      <c r="H56" s="465"/>
      <c r="I56" s="464">
        <v>2</v>
      </c>
      <c r="J56" s="464">
        <v>2</v>
      </c>
      <c r="K56" s="464">
        <v>3</v>
      </c>
      <c r="L56" s="464">
        <v>2</v>
      </c>
      <c r="M56" s="466"/>
      <c r="N56"/>
      <c r="P56"/>
      <c r="U56"/>
      <c r="V56"/>
      <c r="X56"/>
      <c r="AA56"/>
    </row>
    <row r="57" spans="2:27" ht="43.5">
      <c r="B57" s="462">
        <f t="shared" si="1"/>
        <v>55</v>
      </c>
      <c r="C57" s="463" t="s">
        <v>8456</v>
      </c>
      <c r="D57" s="464">
        <v>5</v>
      </c>
      <c r="E57" s="464" t="s">
        <v>74</v>
      </c>
      <c r="F57" s="445" t="s">
        <v>8444</v>
      </c>
      <c r="G57" s="464" t="s">
        <v>2179</v>
      </c>
      <c r="H57" s="465"/>
      <c r="I57" s="464">
        <v>5</v>
      </c>
      <c r="J57" s="464">
        <v>5</v>
      </c>
      <c r="K57" s="464">
        <v>2</v>
      </c>
      <c r="L57" s="464">
        <v>5</v>
      </c>
      <c r="M57" s="466"/>
      <c r="N57"/>
      <c r="P57"/>
      <c r="U57"/>
      <c r="V57"/>
      <c r="X57"/>
      <c r="AA57"/>
    </row>
    <row r="58" spans="2:27" ht="43.5">
      <c r="B58" s="462">
        <f xml:space="preserve"> ROW() - 2</f>
        <v>56</v>
      </c>
      <c r="C58" s="467" t="s">
        <v>8459</v>
      </c>
      <c r="D58" s="464">
        <v>4</v>
      </c>
      <c r="E58" s="465" t="s">
        <v>8194</v>
      </c>
      <c r="F58" s="445" t="s">
        <v>8449</v>
      </c>
      <c r="G58" s="464" t="s">
        <v>2179</v>
      </c>
      <c r="H58" s="465"/>
      <c r="I58" s="464">
        <v>4</v>
      </c>
      <c r="J58" s="464">
        <v>4</v>
      </c>
      <c r="K58" s="464">
        <v>7</v>
      </c>
      <c r="L58" s="464">
        <v>4</v>
      </c>
      <c r="M58" s="466" t="s">
        <v>8458</v>
      </c>
      <c r="U58"/>
      <c r="V58"/>
      <c r="X58"/>
      <c r="AA58"/>
    </row>
    <row r="59" spans="2:27" ht="43.5">
      <c r="B59" s="462">
        <f xml:space="preserve"> ROW() - 2</f>
        <v>57</v>
      </c>
      <c r="C59" s="468" t="s">
        <v>8461</v>
      </c>
      <c r="D59" s="464">
        <v>8</v>
      </c>
      <c r="E59" s="464" t="s">
        <v>8452</v>
      </c>
      <c r="F59" s="445" t="s">
        <v>8443</v>
      </c>
      <c r="G59" s="464" t="s">
        <v>2179</v>
      </c>
      <c r="H59" s="465"/>
      <c r="I59" s="464">
        <v>8</v>
      </c>
      <c r="J59" s="464">
        <v>8</v>
      </c>
      <c r="K59" s="464">
        <v>8</v>
      </c>
      <c r="L59" s="464">
        <v>8</v>
      </c>
      <c r="M59" s="466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28" activePane="bottomLeft" state="frozen"/>
      <selection pane="bottomLeft" activeCell="O33" sqref="O33"/>
    </sheetView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39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9" t="s">
        <v>2</v>
      </c>
      <c r="C4" s="350" t="s">
        <v>1</v>
      </c>
      <c r="D4" s="349" t="s">
        <v>203</v>
      </c>
      <c r="E4" s="349" t="s">
        <v>8296</v>
      </c>
      <c r="F4" s="349" t="s">
        <v>8421</v>
      </c>
      <c r="G4" s="349" t="s">
        <v>3</v>
      </c>
      <c r="H4" s="349" t="s">
        <v>8376</v>
      </c>
      <c r="I4" s="349" t="s">
        <v>8197</v>
      </c>
      <c r="J4" s="349" t="s">
        <v>8252</v>
      </c>
      <c r="K4" s="349" t="s">
        <v>8148</v>
      </c>
      <c r="L4" s="349" t="s">
        <v>8323</v>
      </c>
      <c r="M4" s="349" t="s">
        <v>8324</v>
      </c>
      <c r="N4" s="349" t="s">
        <v>8238</v>
      </c>
      <c r="O4" s="351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46">
        <f t="shared" ref="B5:B61" si="0" xml:space="preserve"> ROW() - 4</f>
        <v>1</v>
      </c>
      <c r="C5" s="347" t="s">
        <v>204</v>
      </c>
      <c r="D5" s="344" t="s">
        <v>116</v>
      </c>
      <c r="E5" s="380" t="s">
        <v>116</v>
      </c>
      <c r="F5" s="380" t="s">
        <v>116</v>
      </c>
      <c r="G5" s="344" t="str">
        <f xml:space="preserve"> _xlfn.XLOOKUP(按鍵設計表[[#This Row],[台語音標]], 注音編碼對照表[台語音標], 注音編碼對照表[注音符號], "")</f>
        <v>ㆠ</v>
      </c>
      <c r="H5" s="390" t="str">
        <f xml:space="preserve"> _xlfn.XLOOKUP(按鍵設計表[[#This Row],[台語音標]], 注音編碼對照表[台語音標], 注音編碼對照表[漢字例], "")</f>
        <v>眉</v>
      </c>
      <c r="I5" s="344" t="str">
        <f xml:space="preserve"> _xlfn.XLOOKUP(按鍵設計表[[#This Row],[台語音標]], 注音編碼對照表[台語音標], 注音編碼對照表[聲韻調], "鍵")</f>
        <v>聲</v>
      </c>
      <c r="J5" s="344" t="str">
        <f xml:space="preserve"> _xlfn.XLOOKUP(按鍵設計表[[#This Row],[台語音標]], 注音編碼對照表[台語音標], 注音編碼對照表[十五音], "")</f>
        <v>門</v>
      </c>
      <c r="K5" s="344" t="str">
        <f xml:space="preserve"> _xlfn.XLOOKUP(按鍵設計表[[#This Row],[台語音標]], 注音編碼對照表[台語音標], 注音編碼對照表[注音二式], "")</f>
        <v>bb</v>
      </c>
      <c r="L5" s="344" t="str">
        <f xml:space="preserve"> _xlfn.XLOOKUP(按鍵設計表[[#This Row],[台語音標]], 注音編碼對照表[台語音標], 注音編碼對照表[台羅拼音], "")</f>
        <v>b</v>
      </c>
      <c r="M5" s="344" t="str">
        <f xml:space="preserve"> _xlfn.XLOOKUP(按鍵設計表[[#This Row],[台語音標]], 注音編碼對照表[台語音標], 注音編碼對照表[白話字], "")</f>
        <v>b</v>
      </c>
      <c r="N5" s="344" t="str">
        <f xml:space="preserve"> _xlfn.XLOOKUP(按鍵設計表[[#This Row],[台語音標]], 注音編碼對照表[台語音標], 注音編碼對照表[閩拼方案], "")</f>
        <v>bb</v>
      </c>
      <c r="O5" s="345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46">
        <f xml:space="preserve"> ROW() - 4</f>
        <v>2</v>
      </c>
      <c r="C6" s="347" t="s">
        <v>191</v>
      </c>
      <c r="D6" s="344" t="s">
        <v>127</v>
      </c>
      <c r="E6" s="380" t="s">
        <v>127</v>
      </c>
      <c r="F6" s="380" t="s">
        <v>127</v>
      </c>
      <c r="G6" s="344" t="str">
        <f xml:space="preserve"> _xlfn.XLOOKUP(按鍵設計表[[#This Row],[台語音標]], 注音編碼對照表[台語音標], 注音編碼對照表[注音符號], "")</f>
        <v>ㄅ</v>
      </c>
      <c r="H6" s="390" t="str">
        <f xml:space="preserve"> _xlfn.XLOOKUP(按鍵設計表[[#This Row],[台語音標]], 注音編碼對照表[台語音標], 注音編碼對照表[漢字例], "")</f>
        <v>幫</v>
      </c>
      <c r="I6" s="344" t="str">
        <f xml:space="preserve"> _xlfn.XLOOKUP(按鍵設計表[[#This Row],[台語音標]], 注音編碼對照表[台語音標], 注音編碼對照表[聲韻調], "鍵")</f>
        <v>聲</v>
      </c>
      <c r="J6" s="344" t="str">
        <f xml:space="preserve"> _xlfn.XLOOKUP(按鍵設計表[[#This Row],[台語音標]], 注音編碼對照表[台語音標], 注音編碼對照表[十五音], "")</f>
        <v>邊</v>
      </c>
      <c r="K6" s="344" t="str">
        <f xml:space="preserve"> _xlfn.XLOOKUP(按鍵設計表[[#This Row],[台語音標]], 注音編碼對照表[台語音標], 注音編碼對照表[注音二式], "")</f>
        <v>b</v>
      </c>
      <c r="L6" s="344" t="str">
        <f xml:space="preserve"> _xlfn.XLOOKUP(按鍵設計表[[#This Row],[台語音標]], 注音編碼對照表[台語音標], 注音編碼對照表[台羅拼音], "")</f>
        <v>p</v>
      </c>
      <c r="M6" s="344" t="str">
        <f xml:space="preserve"> _xlfn.XLOOKUP(按鍵設計表[[#This Row],[台語音標]], 注音編碼對照表[台語音標], 注音編碼對照表[白話字], "")</f>
        <v>p</v>
      </c>
      <c r="N6" s="344" t="str">
        <f xml:space="preserve"> _xlfn.XLOOKUP(按鍵設計表[[#This Row],[台語音標]], 注音編碼對照表[台語音標], 注音編碼對照表[閩拼方案], "")</f>
        <v>b</v>
      </c>
      <c r="O6" s="348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46">
        <f t="shared" si="0"/>
        <v>3</v>
      </c>
      <c r="C7" s="347" t="s">
        <v>187</v>
      </c>
      <c r="D7" s="344" t="s">
        <v>205</v>
      </c>
      <c r="E7" s="380" t="s">
        <v>209</v>
      </c>
      <c r="F7" s="380" t="s">
        <v>209</v>
      </c>
      <c r="G7" s="344" t="str">
        <f xml:space="preserve"> _xlfn.XLOOKUP(按鍵設計表[[#This Row],[台語音標]], 注音編碼對照表[台語音標], 注音編碼對照表[注音符號], "")</f>
        <v>ㄆ</v>
      </c>
      <c r="H7" s="390" t="str">
        <f xml:space="preserve"> _xlfn.XLOOKUP(按鍵設計表[[#This Row],[台語音標]], 注音編碼對照表[台語音標], 注音編碼對照表[漢字例], "")</f>
        <v>普</v>
      </c>
      <c r="I7" s="344" t="str">
        <f xml:space="preserve"> _xlfn.XLOOKUP(按鍵設計表[[#This Row],[台語音標]], 注音編碼對照表[台語音標], 注音編碼對照表[聲韻調], "鍵")</f>
        <v>聲</v>
      </c>
      <c r="J7" s="344" t="str">
        <f xml:space="preserve"> _xlfn.XLOOKUP(按鍵設計表[[#This Row],[台語音標]], 注音編碼對照表[台語音標], 注音編碼對照表[十五音], "")</f>
        <v>頗</v>
      </c>
      <c r="K7" s="344" t="str">
        <f xml:space="preserve"> _xlfn.XLOOKUP(按鍵設計表[[#This Row],[台語音標]], 注音編碼對照表[台語音標], 注音編碼對照表[注音二式], "")</f>
        <v>p</v>
      </c>
      <c r="L7" s="344" t="str">
        <f xml:space="preserve"> _xlfn.XLOOKUP(按鍵設計表[[#This Row],[台語音標]], 注音編碼對照表[台語音標], 注音編碼對照表[台羅拼音], "")</f>
        <v>ph</v>
      </c>
      <c r="M7" s="344" t="str">
        <f xml:space="preserve"> _xlfn.XLOOKUP(按鍵設計表[[#This Row],[台語音標]], 注音編碼對照表[台語音標], 注音編碼對照表[白話字], "")</f>
        <v>ph</v>
      </c>
      <c r="N7" s="344" t="str">
        <f xml:space="preserve"> _xlfn.XLOOKUP(按鍵設計表[[#This Row],[台語音標]], 注音編碼對照表[台語音標], 注音編碼對照表[閩拼方案], "")</f>
        <v>p</v>
      </c>
      <c r="O7" s="345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53">
        <f t="shared" si="0"/>
        <v>4</v>
      </c>
      <c r="C8" s="354" t="s">
        <v>186</v>
      </c>
      <c r="D8" s="355" t="s">
        <v>96</v>
      </c>
      <c r="E8" s="381" t="s">
        <v>55</v>
      </c>
      <c r="F8" s="381" t="s">
        <v>116</v>
      </c>
      <c r="G8" s="355" t="str">
        <f xml:space="preserve"> _xlfn.XLOOKUP(按鍵設計表[[#This Row],[台語音標]], 注音編碼對照表[台語音標], 注音編碼對照表[注音符號], "")</f>
        <v>ㄇ</v>
      </c>
      <c r="H8" s="391" t="str">
        <f xml:space="preserve"> _xlfn.XLOOKUP(按鍵設計表[[#This Row],[台語音標]], 注音編碼對照表[台語音標], 注音編碼對照表[漢字例], "")</f>
        <v>名</v>
      </c>
      <c r="I8" s="355" t="str">
        <f xml:space="preserve"> _xlfn.XLOOKUP(按鍵設計表[[#This Row],[台語音標]], 注音編碼對照表[台語音標], 注音編碼對照表[聲韻調], "鍵")</f>
        <v>聲</v>
      </c>
      <c r="J8" s="355" t="str">
        <f xml:space="preserve"> _xlfn.XLOOKUP(按鍵設計表[[#This Row],[台語音標]], 注音編碼對照表[台語音標], 注音編碼對照表[十五音], "")</f>
        <v>門</v>
      </c>
      <c r="K8" s="355" t="str">
        <f xml:space="preserve"> _xlfn.XLOOKUP(按鍵設計表[[#This Row],[台語音標]], 注音編碼對照表[台語音標], 注音編碼對照表[注音二式], "")</f>
        <v>m</v>
      </c>
      <c r="L8" s="355" t="str">
        <f xml:space="preserve"> _xlfn.XLOOKUP(按鍵設計表[[#This Row],[台語音標]], 注音編碼對照表[台語音標], 注音編碼對照表[台羅拼音], "")</f>
        <v>m</v>
      </c>
      <c r="M8" s="355" t="str">
        <f xml:space="preserve"> _xlfn.XLOOKUP(按鍵設計表[[#This Row],[台語音標]], 注音編碼對照表[台語音標], 注音編碼對照表[白話字], "")</f>
        <v>m</v>
      </c>
      <c r="N8" s="355" t="str">
        <f xml:space="preserve"> _xlfn.XLOOKUP(按鍵設計表[[#This Row],[台語音標]], 注音編碼對照表[台語音標], 注音編碼對照表[閩拼方案], "")</f>
        <v>bbn</v>
      </c>
      <c r="O8" s="356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46">
        <f t="shared" si="0"/>
        <v>5</v>
      </c>
      <c r="C9" s="347" t="s">
        <v>30</v>
      </c>
      <c r="D9" s="344" t="s">
        <v>16</v>
      </c>
      <c r="E9" s="380" t="s">
        <v>16</v>
      </c>
      <c r="F9" s="380" t="s">
        <v>16</v>
      </c>
      <c r="G9" s="344" t="str">
        <f xml:space="preserve"> _xlfn.XLOOKUP(按鍵設計表[[#This Row],[台語音標]], 注音編碼對照表[台語音標], 注音編碼對照表[注音符號], "")</f>
        <v>ㄋ</v>
      </c>
      <c r="H9" s="390" t="str">
        <f xml:space="preserve"> _xlfn.XLOOKUP(按鍵設計表[[#This Row],[台語音標]], 注音編碼對照表[台語音標], 注音編碼對照表[漢字例], "")</f>
        <v>泥</v>
      </c>
      <c r="I9" s="344" t="str">
        <f xml:space="preserve"> _xlfn.XLOOKUP(按鍵設計表[[#This Row],[台語音標]], 注音編碼對照表[台語音標], 注音編碼對照表[聲韻調], "鍵")</f>
        <v>聲</v>
      </c>
      <c r="J9" s="344" t="str">
        <f xml:space="preserve"> _xlfn.XLOOKUP(按鍵設計表[[#This Row],[台語音標]], 注音編碼對照表[台語音標], 注音編碼對照表[十五音], "")</f>
        <v>柳</v>
      </c>
      <c r="K9" s="344" t="str">
        <f xml:space="preserve"> _xlfn.XLOOKUP(按鍵設計表[[#This Row],[台語音標]], 注音編碼對照表[台語音標], 注音編碼對照表[注音二式], "")</f>
        <v>n</v>
      </c>
      <c r="L9" s="344" t="str">
        <f xml:space="preserve"> _xlfn.XLOOKUP(按鍵設計表[[#This Row],[台語音標]], 注音編碼對照表[台語音標], 注音編碼對照表[台羅拼音], "")</f>
        <v>n</v>
      </c>
      <c r="M9" s="344" t="str">
        <f xml:space="preserve"> _xlfn.XLOOKUP(按鍵設計表[[#This Row],[台語音標]], 注音編碼對照表[台語音標], 注音編碼對照表[白話字], "")</f>
        <v>n</v>
      </c>
      <c r="N9" s="344" t="str">
        <f xml:space="preserve"> _xlfn.XLOOKUP(按鍵設計表[[#This Row],[台語音標]], 注音編碼對照表[台語音標], 注音編碼對照表[閩拼方案], "")</f>
        <v>ln</v>
      </c>
      <c r="O9" s="345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46">
        <f t="shared" si="0"/>
        <v>6</v>
      </c>
      <c r="C10" s="347" t="s">
        <v>184</v>
      </c>
      <c r="D10" s="344" t="s">
        <v>12</v>
      </c>
      <c r="E10" s="380" t="s">
        <v>12</v>
      </c>
      <c r="F10" s="380" t="s">
        <v>12</v>
      </c>
      <c r="G10" s="344" t="str">
        <f xml:space="preserve"> _xlfn.XLOOKUP(按鍵設計表[[#This Row],[台語音標]], 注音編碼對照表[台語音標], 注音編碼對照表[注音符號], "")</f>
        <v>ㄉ</v>
      </c>
      <c r="H10" s="390" t="str">
        <f xml:space="preserve"> _xlfn.XLOOKUP(按鍵設計表[[#This Row],[台語音標]], 注音編碼對照表[台語音標], 注音編碼對照表[漢字例], "")</f>
        <v>端</v>
      </c>
      <c r="I10" s="344" t="str">
        <f xml:space="preserve"> _xlfn.XLOOKUP(按鍵設計表[[#This Row],[台語音標]], 注音編碼對照表[台語音標], 注音編碼對照表[聲韻調], "鍵")</f>
        <v>聲</v>
      </c>
      <c r="J10" s="344" t="str">
        <f xml:space="preserve"> _xlfn.XLOOKUP(按鍵設計表[[#This Row],[台語音標]], 注音編碼對照表[台語音標], 注音編碼對照表[十五音], "")</f>
        <v>地</v>
      </c>
      <c r="K10" s="344" t="str">
        <f xml:space="preserve"> _xlfn.XLOOKUP(按鍵設計表[[#This Row],[台語音標]], 注音編碼對照表[台語音標], 注音編碼對照表[注音二式], "")</f>
        <v>d</v>
      </c>
      <c r="L10" s="344" t="str">
        <f xml:space="preserve"> _xlfn.XLOOKUP(按鍵設計表[[#This Row],[台語音標]], 注音編碼對照表[台語音標], 注音編碼對照表[台羅拼音], "")</f>
        <v>t</v>
      </c>
      <c r="M10" s="344" t="str">
        <f xml:space="preserve"> _xlfn.XLOOKUP(按鍵設計表[[#This Row],[台語音標]], 注音編碼對照表[台語音標], 注音編碼對照表[白話字], "")</f>
        <v>t</v>
      </c>
      <c r="N10" s="344" t="str">
        <f xml:space="preserve"> _xlfn.XLOOKUP(按鍵設計表[[#This Row],[台語音標]], 注音編碼對照表[台語音標], 注音編碼對照表[閩拼方案], "")</f>
        <v>d</v>
      </c>
      <c r="O10" s="348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46">
        <f t="shared" si="0"/>
        <v>7</v>
      </c>
      <c r="C11" s="347" t="s">
        <v>181</v>
      </c>
      <c r="D11" s="344" t="s">
        <v>14</v>
      </c>
      <c r="E11" s="380" t="s">
        <v>212</v>
      </c>
      <c r="F11" s="380" t="s">
        <v>212</v>
      </c>
      <c r="G11" s="344" t="str">
        <f xml:space="preserve"> _xlfn.XLOOKUP(按鍵設計表[[#This Row],[台語音標]], 注音編碼對照表[台語音標], 注音編碼對照表[注音符號], "")</f>
        <v>ㄊ</v>
      </c>
      <c r="H11" s="390" t="str">
        <f xml:space="preserve"> _xlfn.XLOOKUP(按鍵設計表[[#This Row],[台語音標]], 注音編碼對照表[台語音標], 注音編碼對照表[漢字例], "")</f>
        <v>透</v>
      </c>
      <c r="I11" s="344" t="str">
        <f xml:space="preserve"> _xlfn.XLOOKUP(按鍵設計表[[#This Row],[台語音標]], 注音編碼對照表[台語音標], 注音編碼對照表[聲韻調], "鍵")</f>
        <v>聲</v>
      </c>
      <c r="J11" s="344" t="str">
        <f xml:space="preserve"> _xlfn.XLOOKUP(按鍵設計表[[#This Row],[台語音標]], 注音編碼對照表[台語音標], 注音編碼對照表[十五音], "")</f>
        <v>他</v>
      </c>
      <c r="K11" s="344" t="str">
        <f xml:space="preserve"> _xlfn.XLOOKUP(按鍵設計表[[#This Row],[台語音標]], 注音編碼對照表[台語音標], 注音編碼對照表[注音二式], "")</f>
        <v>t</v>
      </c>
      <c r="L11" s="344" t="str">
        <f xml:space="preserve"> _xlfn.XLOOKUP(按鍵設計表[[#This Row],[台語音標]], 注音編碼對照表[台語音標], 注音編碼對照表[台羅拼音], "")</f>
        <v>th</v>
      </c>
      <c r="M11" s="344" t="str">
        <f xml:space="preserve"> _xlfn.XLOOKUP(按鍵設計表[[#This Row],[台語音標]], 注音編碼對照表[台語音標], 注音編碼對照表[白話字], "")</f>
        <v>th</v>
      </c>
      <c r="N11" s="344" t="str">
        <f xml:space="preserve"> _xlfn.XLOOKUP(按鍵設計表[[#This Row],[台語音標]], 注音編碼對照表[台語音標], 注音編碼對照表[閩拼方案], "")</f>
        <v>t</v>
      </c>
      <c r="O11" s="345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53">
        <f t="shared" si="0"/>
        <v>8</v>
      </c>
      <c r="C12" s="354" t="s">
        <v>215</v>
      </c>
      <c r="D12" s="355" t="s">
        <v>57</v>
      </c>
      <c r="E12" s="381" t="s">
        <v>251</v>
      </c>
      <c r="F12" s="381" t="s">
        <v>16</v>
      </c>
      <c r="G12" s="355" t="str">
        <f xml:space="preserve"> _xlfn.XLOOKUP(按鍵設計表[[#This Row],[台語音標]], 注音編碼對照表[台語音標], 注音編碼對照表[注音符號], "")</f>
        <v>ㄌ</v>
      </c>
      <c r="H12" s="391" t="str">
        <f xml:space="preserve"> _xlfn.XLOOKUP(按鍵設計表[[#This Row],[台語音標]], 注音編碼對照表[台語音標], 注音編碼對照表[漢字例], "")</f>
        <v>來</v>
      </c>
      <c r="I12" s="355" t="str">
        <f xml:space="preserve"> _xlfn.XLOOKUP(按鍵設計表[[#This Row],[台語音標]], 注音編碼對照表[台語音標], 注音編碼對照表[聲韻調], "鍵")</f>
        <v>聲</v>
      </c>
      <c r="J12" s="355" t="str">
        <f xml:space="preserve"> _xlfn.XLOOKUP(按鍵設計表[[#This Row],[台語音標]], 注音編碼對照表[台語音標], 注音編碼對照表[十五音], "")</f>
        <v>柳</v>
      </c>
      <c r="K12" s="355" t="str">
        <f xml:space="preserve"> _xlfn.XLOOKUP(按鍵設計表[[#This Row],[台語音標]], 注音編碼對照表[台語音標], 注音編碼對照表[注音二式], "")</f>
        <v>l</v>
      </c>
      <c r="L12" s="355" t="str">
        <f xml:space="preserve"> _xlfn.XLOOKUP(按鍵設計表[[#This Row],[台語音標]], 注音編碼對照表[台語音標], 注音編碼對照表[台羅拼音], "")</f>
        <v>l</v>
      </c>
      <c r="M12" s="355" t="str">
        <f xml:space="preserve"> _xlfn.XLOOKUP(按鍵設計表[[#This Row],[台語音標]], 注音編碼對照表[台語音標], 注音編碼對照表[白話字], "")</f>
        <v>l</v>
      </c>
      <c r="N12" s="355" t="str">
        <f xml:space="preserve"> _xlfn.XLOOKUP(按鍵設計表[[#This Row],[台語音標]], 注音編碼對照表[台語音標], 注音編碼對照表[閩拼方案], "")</f>
        <v>l</v>
      </c>
      <c r="O12" s="356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46">
        <f t="shared" si="0"/>
        <v>9</v>
      </c>
      <c r="C13" s="347" t="s">
        <v>218</v>
      </c>
      <c r="D13" s="344" t="s">
        <v>113</v>
      </c>
      <c r="E13" s="380" t="s">
        <v>22</v>
      </c>
      <c r="F13" s="380" t="s">
        <v>113</v>
      </c>
      <c r="G13" s="344" t="str">
        <f xml:space="preserve"> _xlfn.XLOOKUP(按鍵設計表[[#This Row],[台語音標]], 注音編碼對照表[台語音標], 注音編碼對照表[注音符號], "")</f>
        <v>ㆣ</v>
      </c>
      <c r="H13" s="390" t="str">
        <f xml:space="preserve"> _xlfn.XLOOKUP(按鍵設計表[[#This Row],[台語音標]], 注音編碼對照表[台語音標], 注音編碼對照表[漢字例], "")</f>
        <v>疑</v>
      </c>
      <c r="I13" s="344" t="str">
        <f xml:space="preserve"> _xlfn.XLOOKUP(按鍵設計表[[#This Row],[台語音標]], 注音編碼對照表[台語音標], 注音編碼對照表[聲韻調], "鍵")</f>
        <v>聲</v>
      </c>
      <c r="J13" s="344" t="str">
        <f xml:space="preserve"> _xlfn.XLOOKUP(按鍵設計表[[#This Row],[台語音標]], 注音編碼對照表[台語音標], 注音編碼對照表[十五音], "")</f>
        <v>語</v>
      </c>
      <c r="K13" s="344" t="str">
        <f xml:space="preserve"> _xlfn.XLOOKUP(按鍵設計表[[#This Row],[台語音標]], 注音編碼對照表[台語音標], 注音編碼對照表[注音二式], "")</f>
        <v>gg</v>
      </c>
      <c r="L13" s="344" t="str">
        <f xml:space="preserve"> _xlfn.XLOOKUP(按鍵設計表[[#This Row],[台語音標]], 注音編碼對照表[台語音標], 注音編碼對照表[台羅拼音], "")</f>
        <v>g</v>
      </c>
      <c r="M13" s="344" t="str">
        <f xml:space="preserve"> _xlfn.XLOOKUP(按鍵設計表[[#This Row],[台語音標]], 注音編碼對照表[台語音標], 注音編碼對照表[白話字], "")</f>
        <v>g</v>
      </c>
      <c r="N13" s="344" t="str">
        <f xml:space="preserve"> _xlfn.XLOOKUP(按鍵設計表[[#This Row],[台語音標]], 注音編碼對照表[台語音標], 注音編碼對照表[閩拼方案], "")</f>
        <v>gg</v>
      </c>
      <c r="O13" s="345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46">
        <f t="shared" si="0"/>
        <v>10</v>
      </c>
      <c r="C14" s="347" t="s">
        <v>174</v>
      </c>
      <c r="D14" s="344" t="s">
        <v>18</v>
      </c>
      <c r="E14" s="380" t="s">
        <v>18</v>
      </c>
      <c r="F14" s="380" t="s">
        <v>18</v>
      </c>
      <c r="G14" s="344" t="str">
        <f xml:space="preserve"> _xlfn.XLOOKUP(按鍵設計表[[#This Row],[台語音標]], 注音編碼對照表[台語音標], 注音編碼對照表[注音符號], "")</f>
        <v>ㄍ</v>
      </c>
      <c r="H14" s="390" t="str">
        <f xml:space="preserve"> _xlfn.XLOOKUP(按鍵設計表[[#This Row],[台語音標]], 注音編碼對照表[台語音標], 注音編碼對照表[漢字例], "")</f>
        <v>見</v>
      </c>
      <c r="I14" s="344" t="str">
        <f xml:space="preserve"> _xlfn.XLOOKUP(按鍵設計表[[#This Row],[台語音標]], 注音編碼對照表[台語音標], 注音編碼對照表[聲韻調], "鍵")</f>
        <v>聲</v>
      </c>
      <c r="J14" s="344" t="str">
        <f xml:space="preserve"> _xlfn.XLOOKUP(按鍵設計表[[#This Row],[台語音標]], 注音編碼對照表[台語音標], 注音編碼對照表[十五音], "")</f>
        <v>求</v>
      </c>
      <c r="K14" s="344" t="str">
        <f xml:space="preserve"> _xlfn.XLOOKUP(按鍵設計表[[#This Row],[台語音標]], 注音編碼對照表[台語音標], 注音編碼對照表[注音二式], "")</f>
        <v>g</v>
      </c>
      <c r="L14" s="344" t="str">
        <f xml:space="preserve"> _xlfn.XLOOKUP(按鍵設計表[[#This Row],[台語音標]], 注音編碼對照表[台語音標], 注音編碼對照表[台羅拼音], "")</f>
        <v>k</v>
      </c>
      <c r="M14" s="344" t="str">
        <f xml:space="preserve"> _xlfn.XLOOKUP(按鍵設計表[[#This Row],[台語音標]], 注音編碼對照表[台語音標], 注音編碼對照表[白話字], "")</f>
        <v>k</v>
      </c>
      <c r="N14" s="344" t="str">
        <f xml:space="preserve"> _xlfn.XLOOKUP(按鍵設計表[[#This Row],[台語音標]], 注音編碼對照表[台語音標], 注音編碼對照表[閩拼方案], "")</f>
        <v>g</v>
      </c>
      <c r="O14" s="348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46">
        <f t="shared" si="0"/>
        <v>11</v>
      </c>
      <c r="C15" s="347" t="s">
        <v>173</v>
      </c>
      <c r="D15" s="344" t="s">
        <v>217</v>
      </c>
      <c r="E15" s="380" t="s">
        <v>220</v>
      </c>
      <c r="F15" s="380" t="s">
        <v>220</v>
      </c>
      <c r="G15" s="344" t="str">
        <f xml:space="preserve"> _xlfn.XLOOKUP(按鍵設計表[[#This Row],[台語音標]], 注音編碼對照表[台語音標], 注音編碼對照表[注音符號], "")</f>
        <v>ㄎ</v>
      </c>
      <c r="H15" s="390" t="str">
        <f xml:space="preserve"> _xlfn.XLOOKUP(按鍵設計表[[#This Row],[台語音標]], 注音編碼對照表[台語音標], 注音編碼對照表[漢字例], "")</f>
        <v>溪</v>
      </c>
      <c r="I15" s="344" t="str">
        <f xml:space="preserve"> _xlfn.XLOOKUP(按鍵設計表[[#This Row],[台語音標]], 注音編碼對照表[台語音標], 注音編碼對照表[聲韻調], "鍵")</f>
        <v>聲</v>
      </c>
      <c r="J15" s="344" t="str">
        <f xml:space="preserve"> _xlfn.XLOOKUP(按鍵設計表[[#This Row],[台語音標]], 注音編碼對照表[台語音標], 注音編碼對照表[十五音], "")</f>
        <v>氣</v>
      </c>
      <c r="K15" s="344" t="str">
        <f xml:space="preserve"> _xlfn.XLOOKUP(按鍵設計表[[#This Row],[台語音標]], 注音編碼對照表[台語音標], 注音編碼對照表[注音二式], "")</f>
        <v>k</v>
      </c>
      <c r="L15" s="344" t="str">
        <f xml:space="preserve"> _xlfn.XLOOKUP(按鍵設計表[[#This Row],[台語音標]], 注音編碼對照表[台語音標], 注音編碼對照表[台羅拼音], "")</f>
        <v>kh</v>
      </c>
      <c r="M15" s="344" t="str">
        <f xml:space="preserve"> _xlfn.XLOOKUP(按鍵設計表[[#This Row],[台語音標]], 注音編碼對照表[台語音標], 注音編碼對照表[白話字], "")</f>
        <v>kh</v>
      </c>
      <c r="N15" s="344" t="str">
        <f xml:space="preserve"> _xlfn.XLOOKUP(按鍵設計表[[#This Row],[台語音標]], 注音編碼對照表[台語音標], 注音編碼對照表[閩拼方案], "")</f>
        <v>k</v>
      </c>
      <c r="O15" s="345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53">
        <f t="shared" si="0"/>
        <v>12</v>
      </c>
      <c r="C16" s="354" t="s">
        <v>8466</v>
      </c>
      <c r="D16" s="355" t="s">
        <v>94</v>
      </c>
      <c r="E16" s="381" t="s">
        <v>8463</v>
      </c>
      <c r="F16" s="381" t="s">
        <v>113</v>
      </c>
      <c r="G16" s="355" t="str">
        <f xml:space="preserve"> _xlfn.XLOOKUP(按鍵設計表[[#This Row],[台語音標]], 注音編碼對照表[台語音標], 注音編碼對照表[注音符號], "")</f>
        <v>ㄫ</v>
      </c>
      <c r="H16" s="391" t="str">
        <f xml:space="preserve"> _xlfn.XLOOKUP(按鍵設計表[[#This Row],[台語音標]], 注音編碼對照表[台語音標], 注音編碼對照表[漢字例], "")</f>
        <v>吳</v>
      </c>
      <c r="I16" s="355" t="str">
        <f xml:space="preserve"> _xlfn.XLOOKUP(按鍵設計表[[#This Row],[台語音標]], 注音編碼對照表[台語音標], 注音編碼對照表[聲韻調], "鍵")</f>
        <v>聲</v>
      </c>
      <c r="J16" s="355" t="str">
        <f xml:space="preserve"> _xlfn.XLOOKUP(按鍵設計表[[#This Row],[台語音標]], 注音編碼對照表[台語音標], 注音編碼對照表[十五音], "")</f>
        <v>語</v>
      </c>
      <c r="K16" s="355" t="str">
        <f xml:space="preserve"> _xlfn.XLOOKUP(按鍵設計表[[#This Row],[台語音標]], 注音編碼對照表[台語音標], 注音編碼對照表[注音二式], "")</f>
        <v>ng</v>
      </c>
      <c r="L16" s="355" t="str">
        <f xml:space="preserve"> _xlfn.XLOOKUP(按鍵設計表[[#This Row],[台語音標]], 注音編碼對照表[台語音標], 注音編碼對照表[台羅拼音], "")</f>
        <v>ng</v>
      </c>
      <c r="M16" s="355" t="str">
        <f xml:space="preserve"> _xlfn.XLOOKUP(按鍵設計表[[#This Row],[台語音標]], 注音編碼對照表[台語音標], 注音編碼對照表[白話字], "")</f>
        <v>ng</v>
      </c>
      <c r="N16" s="355" t="str">
        <f xml:space="preserve"> _xlfn.XLOOKUP(按鍵設計表[[#This Row],[台語音標]], 注音編碼對照表[台語音標], 注音編碼對照表[閩拼方案], "")</f>
        <v>ggn</v>
      </c>
      <c r="O16" s="356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46">
        <f t="shared" si="0"/>
        <v>13</v>
      </c>
      <c r="C17" s="347" t="s">
        <v>200</v>
      </c>
      <c r="D17" s="344" t="s">
        <v>139</v>
      </c>
      <c r="E17" s="380" t="s">
        <v>139</v>
      </c>
      <c r="F17" s="380" t="s">
        <v>139</v>
      </c>
      <c r="G17" s="344" t="str">
        <f xml:space="preserve"> _xlfn.XLOOKUP(按鍵設計表[[#This Row],[台語音標]], 注音編碼對照表[台語音標], 注音編碼對照表[注音符號], "")</f>
        <v>ㆡ</v>
      </c>
      <c r="H17" s="390" t="str">
        <f xml:space="preserve"> _xlfn.XLOOKUP(按鍵設計表[[#This Row],[台語音標]], 注音編碼對照表[台語音標], 注音編碼對照表[漢字例], "")</f>
        <v>熱</v>
      </c>
      <c r="I17" s="344" t="str">
        <f xml:space="preserve"> _xlfn.XLOOKUP(按鍵設計表[[#This Row],[台語音標]], 注音編碼對照表[台語音標], 注音編碼對照表[聲韻調], "鍵")</f>
        <v>聲</v>
      </c>
      <c r="J17" s="344" t="str">
        <f xml:space="preserve"> _xlfn.XLOOKUP(按鍵設計表[[#This Row],[台語音標]], 注音編碼對照表[台語音標], 注音編碼對照表[十五音], "")</f>
        <v>入</v>
      </c>
      <c r="K17" s="344" t="str">
        <f xml:space="preserve"> _xlfn.XLOOKUP(按鍵設計表[[#This Row],[台語音標]], 注音編碼對照表[台語音標], 注音編碼對照表[注音二式], "")</f>
        <v>zz</v>
      </c>
      <c r="L17" s="344" t="str">
        <f xml:space="preserve"> _xlfn.XLOOKUP(按鍵設計表[[#This Row],[台語音標]], 注音編碼對照表[台語音標], 注音編碼對照表[台羅拼音], "")</f>
        <v>j</v>
      </c>
      <c r="M17" s="344" t="str">
        <f xml:space="preserve"> _xlfn.XLOOKUP(按鍵設計表[[#This Row],[台語音標]], 注音編碼對照表[台語音標], 注音編碼對照表[白話字], "")</f>
        <v>j</v>
      </c>
      <c r="N17" s="344" t="str">
        <f xml:space="preserve"> _xlfn.XLOOKUP(按鍵設計表[[#This Row],[台語音標]], 注音編碼對照表[台語音標], 注音編碼對照表[閩拼方案], "")</f>
        <v>zz</v>
      </c>
      <c r="O17" s="345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46">
        <f t="shared" si="0"/>
        <v>14</v>
      </c>
      <c r="C18" s="347" t="s">
        <v>198</v>
      </c>
      <c r="D18" s="344" t="s">
        <v>111</v>
      </c>
      <c r="E18" s="380" t="s">
        <v>111</v>
      </c>
      <c r="F18" s="380" t="s">
        <v>111</v>
      </c>
      <c r="G18" s="344" t="str">
        <f xml:space="preserve"> _xlfn.XLOOKUP(按鍵設計表[[#This Row],[台語音標]], 注音編碼對照表[台語音標], 注音編碼對照表[注音符號], "")</f>
        <v>ㄗ</v>
      </c>
      <c r="H18" s="390" t="str">
        <f xml:space="preserve"> _xlfn.XLOOKUP(按鍵設計表[[#This Row],[台語音標]], 注音編碼對照表[台語音標], 注音編碼對照表[漢字例], "")</f>
        <v>裝</v>
      </c>
      <c r="I18" s="344" t="str">
        <f xml:space="preserve"> _xlfn.XLOOKUP(按鍵設計表[[#This Row],[台語音標]], 注音編碼對照表[台語音標], 注音編碼對照表[聲韻調], "鍵")</f>
        <v>聲</v>
      </c>
      <c r="J18" s="344" t="str">
        <f xml:space="preserve"> _xlfn.XLOOKUP(按鍵設計表[[#This Row],[台語音標]], 注音編碼對照表[台語音標], 注音編碼對照表[十五音], "")</f>
        <v>曾</v>
      </c>
      <c r="K18" s="344" t="str">
        <f xml:space="preserve"> _xlfn.XLOOKUP(按鍵設計表[[#This Row],[台語音標]], 注音編碼對照表[台語音標], 注音編碼對照表[注音二式], "")</f>
        <v>z</v>
      </c>
      <c r="L18" s="344" t="str">
        <f xml:space="preserve"> _xlfn.XLOOKUP(按鍵設計表[[#This Row],[台語音標]], 注音編碼對照表[台語音標], 注音編碼對照表[台羅拼音], "")</f>
        <v>ts</v>
      </c>
      <c r="M18" s="344" t="str">
        <f xml:space="preserve"> _xlfn.XLOOKUP(按鍵設計表[[#This Row],[台語音標]], 注音編碼對照表[台語音標], 注音編碼對照表[白話字], "")</f>
        <v>ch</v>
      </c>
      <c r="N18" s="344" t="str">
        <f xml:space="preserve"> _xlfn.XLOOKUP(按鍵設計表[[#This Row],[台語音標]], 注音編碼對照表[台語音標], 注音編碼對照表[閩拼方案], "")</f>
        <v>z</v>
      </c>
      <c r="O18" s="348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46">
        <f t="shared" si="0"/>
        <v>15</v>
      </c>
      <c r="C19" s="347" t="s">
        <v>32</v>
      </c>
      <c r="D19" s="344" t="s">
        <v>163</v>
      </c>
      <c r="E19" s="380" t="s">
        <v>163</v>
      </c>
      <c r="F19" s="380" t="s">
        <v>163</v>
      </c>
      <c r="G19" s="344" t="str">
        <f xml:space="preserve"> _xlfn.XLOOKUP(按鍵設計表[[#This Row],[台語音標]], 注音編碼對照表[台語音標], 注音編碼對照表[注音符號], "")</f>
        <v>ㄘ</v>
      </c>
      <c r="H19" s="390" t="str">
        <f xml:space="preserve"> _xlfn.XLOOKUP(按鍵設計表[[#This Row],[台語音標]], 注音編碼對照表[台語音標], 注音編碼對照表[漢字例], "")</f>
        <v>初</v>
      </c>
      <c r="I19" s="344" t="str">
        <f xml:space="preserve"> _xlfn.XLOOKUP(按鍵設計表[[#This Row],[台語音標]], 注音編碼對照表[台語音標], 注音編碼對照表[聲韻調], "鍵")</f>
        <v>聲</v>
      </c>
      <c r="J19" s="344" t="str">
        <f xml:space="preserve"> _xlfn.XLOOKUP(按鍵設計表[[#This Row],[台語音標]], 注音編碼對照表[台語音標], 注音編碼對照表[十五音], "")</f>
        <v>出</v>
      </c>
      <c r="K19" s="344" t="str">
        <f xml:space="preserve"> _xlfn.XLOOKUP(按鍵設計表[[#This Row],[台語音標]], 注音編碼對照表[台語音標], 注音編碼對照表[注音二式], "")</f>
        <v>c</v>
      </c>
      <c r="L19" s="344" t="str">
        <f xml:space="preserve"> _xlfn.XLOOKUP(按鍵設計表[[#This Row],[台語音標]], 注音編碼對照表[台語音標], 注音編碼對照表[台羅拼音], "")</f>
        <v>tsh</v>
      </c>
      <c r="M19" s="344" t="str">
        <f xml:space="preserve"> _xlfn.XLOOKUP(按鍵設計表[[#This Row],[台語音標]], 注音編碼對照表[台語音標], 注音編碼對照表[白話字], "")</f>
        <v>chh</v>
      </c>
      <c r="N19" s="344" t="str">
        <f xml:space="preserve"> _xlfn.XLOOKUP(按鍵設計表[[#This Row],[台語音標]], 注音編碼對照表[台語音標], 注音編碼對照表[閩拼方案], "")</f>
        <v>c</v>
      </c>
      <c r="O19" s="345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53">
        <f t="shared" si="0"/>
        <v>16</v>
      </c>
      <c r="C20" s="354" t="s">
        <v>16</v>
      </c>
      <c r="D20" s="355" t="s">
        <v>179</v>
      </c>
      <c r="E20" s="381" t="s">
        <v>179</v>
      </c>
      <c r="F20" s="381" t="s">
        <v>179</v>
      </c>
      <c r="G20" s="355" t="str">
        <f xml:space="preserve"> _xlfn.XLOOKUP(按鍵設計表[[#This Row],[台語音標]], 注音編碼對照表[台語音標], 注音編碼對照表[注音符號], "")</f>
        <v>ㄙ</v>
      </c>
      <c r="H20" s="391" t="str">
        <f xml:space="preserve"> _xlfn.XLOOKUP(按鍵設計表[[#This Row],[台語音標]], 注音編碼對照表[台語音標], 注音編碼對照表[漢字例], "")</f>
        <v>疏</v>
      </c>
      <c r="I20" s="355" t="str">
        <f xml:space="preserve"> _xlfn.XLOOKUP(按鍵設計表[[#This Row],[台語音標]], 注音編碼對照表[台語音標], 注音編碼對照表[聲韻調], "鍵")</f>
        <v>聲</v>
      </c>
      <c r="J20" s="355" t="str">
        <f xml:space="preserve"> _xlfn.XLOOKUP(按鍵設計表[[#This Row],[台語音標]], 注音編碼對照表[台語音標], 注音編碼對照表[十五音], "")</f>
        <v>時</v>
      </c>
      <c r="K20" s="355" t="str">
        <f xml:space="preserve"> _xlfn.XLOOKUP(按鍵設計表[[#This Row],[台語音標]], 注音編碼對照表[台語音標], 注音編碼對照表[注音二式], "")</f>
        <v>s</v>
      </c>
      <c r="L20" s="355" t="str">
        <f xml:space="preserve"> _xlfn.XLOOKUP(按鍵設計表[[#This Row],[台語音標]], 注音編碼對照表[台語音標], 注音編碼對照表[台羅拼音], "")</f>
        <v>s</v>
      </c>
      <c r="M20" s="355" t="str">
        <f xml:space="preserve"> _xlfn.XLOOKUP(按鍵設計表[[#This Row],[台語音標]], 注音編碼對照表[台語音標], 注音編碼對照表[白話字], "")</f>
        <v>s</v>
      </c>
      <c r="N20" s="355" t="str">
        <f xml:space="preserve"> _xlfn.XLOOKUP(按鍵設計表[[#This Row],[台語音標]], 注音編碼對照表[台語音標], 注音編碼對照表[閩拼方案], "")</f>
        <v>s</v>
      </c>
      <c r="O20" s="356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63">
        <f t="shared" si="0"/>
        <v>17</v>
      </c>
      <c r="C21" s="364" t="s">
        <v>157</v>
      </c>
      <c r="D21" s="365" t="s">
        <v>219</v>
      </c>
      <c r="E21" s="415" t="s">
        <v>219</v>
      </c>
      <c r="F21" s="415" t="s">
        <v>219</v>
      </c>
      <c r="G21" s="365" t="str">
        <f xml:space="preserve"> _xlfn.XLOOKUP(按鍵設計表[[#This Row],[台語音標]], 注音編碼對照表[台語音標], 注音編碼對照表[注音符號], "")</f>
        <v>ㄏ</v>
      </c>
      <c r="H21" s="416" t="str">
        <f xml:space="preserve"> _xlfn.XLOOKUP(按鍵設計表[[#This Row],[台語音標]], 注音編碼對照表[台語音標], 注音編碼對照表[漢字例], "")</f>
        <v>雨</v>
      </c>
      <c r="I21" s="365" t="str">
        <f xml:space="preserve"> _xlfn.XLOOKUP(按鍵設計表[[#This Row],[台語音標]], 注音編碼對照表[台語音標], 注音編碼對照表[聲韻調], "鍵")</f>
        <v>聲</v>
      </c>
      <c r="J21" s="365" t="str">
        <f xml:space="preserve"> _xlfn.XLOOKUP(按鍵設計表[[#This Row],[台語音標]], 注音編碼對照表[台語音標], 注音編碼對照表[十五音], "")</f>
        <v>喜</v>
      </c>
      <c r="K21" s="365" t="str">
        <f xml:space="preserve"> _xlfn.XLOOKUP(按鍵設計表[[#This Row],[台語音標]], 注音編碼對照表[台語音標], 注音編碼對照表[注音二式], "")</f>
        <v>h</v>
      </c>
      <c r="L21" s="365" t="str">
        <f xml:space="preserve"> _xlfn.XLOOKUP(按鍵設計表[[#This Row],[台語音標]], 注音編碼對照表[台語音標], 注音編碼對照表[台羅拼音], "")</f>
        <v>h</v>
      </c>
      <c r="M21" s="365" t="str">
        <f xml:space="preserve"> _xlfn.XLOOKUP(按鍵設計表[[#This Row],[台語音標]], 注音編碼對照表[台語音標], 注音編碼對照表[白話字], "")</f>
        <v>h</v>
      </c>
      <c r="N21" s="365" t="str">
        <f xml:space="preserve"> _xlfn.XLOOKUP(按鍵設計表[[#This Row],[台語音標]], 注音編碼對照表[台語音標], 注音編碼對照表[閩拼方案], "")</f>
        <v>h</v>
      </c>
      <c r="O21" s="366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46">
        <f t="shared" si="0"/>
        <v>18</v>
      </c>
      <c r="C22" s="347" t="s">
        <v>225</v>
      </c>
      <c r="D22" s="344" t="s">
        <v>232</v>
      </c>
      <c r="E22" s="344" t="s">
        <v>196</v>
      </c>
      <c r="F22" s="344" t="s">
        <v>8329</v>
      </c>
      <c r="G22" s="344" t="str">
        <f xml:space="preserve"> _xlfn.XLOOKUP(按鍵設計表[[#This Row],[台語音標]], 注音編碼對照表[台語音標], 注音編碼對照表[注音符號], "")</f>
        <v>ㆢ</v>
      </c>
      <c r="H22" s="393" t="str">
        <f xml:space="preserve"> _xlfn.XLOOKUP(按鍵設計表[[#This Row],[台語音標]], 注音編碼對照表[台語音標], 注音編碼對照表[漢字例], "")</f>
        <v>日</v>
      </c>
      <c r="I22" s="344" t="str">
        <f xml:space="preserve"> _xlfn.XLOOKUP(按鍵設計表[[#This Row],[台語音標]], 注音編碼對照表[台語音標], 注音編碼對照表[聲韻調], "鍵")</f>
        <v>聲</v>
      </c>
      <c r="J22" s="344" t="str">
        <f xml:space="preserve"> _xlfn.XLOOKUP(按鍵設計表[[#This Row],[台語音標]], 注音編碼對照表[台語音標], 注音編碼對照表[十五音], "")</f>
        <v>入</v>
      </c>
      <c r="K22" s="344" t="str">
        <f xml:space="preserve"> _xlfn.XLOOKUP(按鍵設計表[[#This Row],[台語音標]], 注音編碼對照表[台語音標], 注音編碼對照表[注音二式], "")</f>
        <v>jj</v>
      </c>
      <c r="L22" s="344" t="str">
        <f xml:space="preserve"> _xlfn.XLOOKUP(按鍵設計表[[#This Row],[台語音標]], 注音編碼對照表[台語音標], 注音編碼對照表[台羅拼音], "")</f>
        <v>ji</v>
      </c>
      <c r="M22" s="344" t="str">
        <f xml:space="preserve"> _xlfn.XLOOKUP(按鍵設計表[[#This Row],[台語音標]], 注音編碼對照表[台語音標], 注音編碼對照表[白話字], "")</f>
        <v>ji</v>
      </c>
      <c r="N22" s="344">
        <f xml:space="preserve"> _xlfn.XLOOKUP(按鍵設計表[[#This Row],[台語音標]], 注音編碼對照表[台語音標], 注音編碼對照表[閩拼方案], "")</f>
        <v>0</v>
      </c>
      <c r="O22" s="345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46">
        <f t="shared" si="0"/>
        <v>19</v>
      </c>
      <c r="C23" s="347" t="s">
        <v>224</v>
      </c>
      <c r="D23" s="344" t="s">
        <v>8187</v>
      </c>
      <c r="E23" s="344" t="s">
        <v>195</v>
      </c>
      <c r="F23" s="344" t="s">
        <v>8330</v>
      </c>
      <c r="G23" s="344" t="str">
        <f xml:space="preserve"> _xlfn.XLOOKUP(按鍵設計表[[#This Row],[台語音標]], 注音編碼對照表[台語音標], 注音編碼對照表[注音符號], "")</f>
        <v>ㄐ</v>
      </c>
      <c r="H23" s="390" t="str">
        <f xml:space="preserve"> _xlfn.XLOOKUP(按鍵設計表[[#This Row],[台語音標]], 注音編碼對照表[台語音標], 注音編碼對照表[漢字例], "")</f>
        <v>精</v>
      </c>
      <c r="I23" s="344" t="str">
        <f xml:space="preserve"> _xlfn.XLOOKUP(按鍵設計表[[#This Row],[台語音標]], 注音編碼對照表[台語音標], 注音編碼對照表[聲韻調], "鍵")</f>
        <v>聲</v>
      </c>
      <c r="J23" s="344" t="str">
        <f xml:space="preserve"> _xlfn.XLOOKUP(按鍵設計表[[#This Row],[台語音標]], 注音編碼對照表[台語音標], 注音編碼對照表[十五音], "")</f>
        <v>曾</v>
      </c>
      <c r="K23" s="344" t="str">
        <f xml:space="preserve"> _xlfn.XLOOKUP(按鍵設計表[[#This Row],[台語音標]], 注音編碼對照表[台語音標], 注音編碼對照表[注音二式], "")</f>
        <v>j</v>
      </c>
      <c r="L23" s="344" t="str">
        <f xml:space="preserve"> _xlfn.XLOOKUP(按鍵設計表[[#This Row],[台語音標]], 注音編碼對照表[台語音標], 注音編碼對照表[台羅拼音], "")</f>
        <v>zi</v>
      </c>
      <c r="M23" s="344" t="str">
        <f xml:space="preserve"> _xlfn.XLOOKUP(按鍵設計表[[#This Row],[台語音標]], 注音編碼對照表[台語音標], 注音編碼對照表[白話字], "")</f>
        <v>zi</v>
      </c>
      <c r="N23" s="344">
        <f xml:space="preserve"> _xlfn.XLOOKUP(按鍵設計表[[#This Row],[台語音標]], 注音編碼對照表[台語音標], 注音編碼對照表[閩拼方案], "")</f>
        <v>0</v>
      </c>
      <c r="O23" s="345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46">
        <f t="shared" si="0"/>
        <v>20</v>
      </c>
      <c r="C24" s="347" t="s">
        <v>226</v>
      </c>
      <c r="D24" s="344" t="s">
        <v>221</v>
      </c>
      <c r="E24" s="344" t="s">
        <v>156</v>
      </c>
      <c r="F24" s="344" t="s">
        <v>8331</v>
      </c>
      <c r="G24" s="344" t="str">
        <f xml:space="preserve"> _xlfn.XLOOKUP(按鍵設計表[[#This Row],[台語音標]], 注音編碼對照表[台語音標], 注音編碼對照表[注音符號], "")</f>
        <v>ㄑ</v>
      </c>
      <c r="H24" s="390" t="str">
        <f xml:space="preserve"> _xlfn.XLOOKUP(按鍵設計表[[#This Row],[台語音標]], 注音編碼對照表[台語音標], 注音編碼對照表[漢字例], "")</f>
        <v>清</v>
      </c>
      <c r="I24" s="344" t="str">
        <f xml:space="preserve"> _xlfn.XLOOKUP(按鍵設計表[[#This Row],[台語音標]], 注音編碼對照表[台語音標], 注音編碼對照表[聲韻調], "鍵")</f>
        <v>聲</v>
      </c>
      <c r="J24" s="344" t="str">
        <f xml:space="preserve"> _xlfn.XLOOKUP(按鍵設計表[[#This Row],[台語音標]], 注音編碼對照表[台語音標], 注音編碼對照表[十五音], "")</f>
        <v>出</v>
      </c>
      <c r="K24" s="344" t="str">
        <f xml:space="preserve"> _xlfn.XLOOKUP(按鍵設計表[[#This Row],[台語音標]], 注音編碼對照表[台語音標], 注音編碼對照表[注音二式], "")</f>
        <v>ch</v>
      </c>
      <c r="L24" s="344" t="str">
        <f xml:space="preserve"> _xlfn.XLOOKUP(按鍵設計表[[#This Row],[台語音標]], 注音編碼對照表[台語音標], 注音編碼對照表[台羅拼音], "")</f>
        <v>ci</v>
      </c>
      <c r="M24" s="344" t="str">
        <f xml:space="preserve"> _xlfn.XLOOKUP(按鍵設計表[[#This Row],[台語音標]], 注音編碼對照表[台語音標], 注音編碼對照表[白話字], "")</f>
        <v>ci</v>
      </c>
      <c r="N24" s="344">
        <f xml:space="preserve"> _xlfn.XLOOKUP(按鍵設計表[[#This Row],[台語音標]], 注音編碼對照表[台語音標], 注音編碼對照表[閩拼方案], "")</f>
        <v>0</v>
      </c>
      <c r="O24" s="345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53">
        <f t="shared" si="0"/>
        <v>21</v>
      </c>
      <c r="C25" s="354" t="s">
        <v>230</v>
      </c>
      <c r="D25" s="355" t="s">
        <v>223</v>
      </c>
      <c r="E25" s="355" t="s">
        <v>197</v>
      </c>
      <c r="F25" s="355" t="s">
        <v>8332</v>
      </c>
      <c r="G25" s="355" t="str">
        <f xml:space="preserve"> _xlfn.XLOOKUP(按鍵設計表[[#This Row],[台語音標]], 注音編碼對照表[台語音標], 注音編碼對照表[注音符號], "")</f>
        <v>ㄒ</v>
      </c>
      <c r="H25" s="391" t="str">
        <f xml:space="preserve"> _xlfn.XLOOKUP(按鍵設計表[[#This Row],[台語音標]], 注音編碼對照表[台語音標], 注音編碼對照表[漢字例], "")</f>
        <v>心</v>
      </c>
      <c r="I25" s="355" t="str">
        <f xml:space="preserve"> _xlfn.XLOOKUP(按鍵設計表[[#This Row],[台語音標]], 注音編碼對照表[台語音標], 注音編碼對照表[聲韻調], "鍵")</f>
        <v>聲</v>
      </c>
      <c r="J25" s="355" t="str">
        <f xml:space="preserve"> _xlfn.XLOOKUP(按鍵設計表[[#This Row],[台語音標]], 注音編碼對照表[台語音標], 注音編碼對照表[十五音], "")</f>
        <v>時</v>
      </c>
      <c r="K25" s="355" t="str">
        <f xml:space="preserve"> _xlfn.XLOOKUP(按鍵設計表[[#This Row],[台語音標]], 注音編碼對照表[台語音標], 注音編碼對照表[注音二式], "")</f>
        <v>sh</v>
      </c>
      <c r="L25" s="355" t="str">
        <f xml:space="preserve"> _xlfn.XLOOKUP(按鍵設計表[[#This Row],[台語音標]], 注音編碼對照表[台語音標], 注音編碼對照表[台羅拼音], "")</f>
        <v>si</v>
      </c>
      <c r="M25" s="355" t="str">
        <f xml:space="preserve"> _xlfn.XLOOKUP(按鍵設計表[[#This Row],[台語音標]], 注音編碼對照表[台語音標], 注音編碼對照表[白話字], "")</f>
        <v>si</v>
      </c>
      <c r="N25" s="355">
        <f xml:space="preserve"> _xlfn.XLOOKUP(按鍵設計表[[#This Row],[台語音標]], 注音編碼對照表[台語音標], 注音編碼對照表[閩拼方案], "")</f>
        <v>0</v>
      </c>
      <c r="O25" s="356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42">
        <f t="shared" si="0"/>
        <v>22</v>
      </c>
      <c r="C26" s="343" t="s">
        <v>301</v>
      </c>
      <c r="D26" s="344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90" t="str">
        <f xml:space="preserve"> _xlfn.XLOOKUP(按鍵設計表[[#This Row],[台語音標]], 注音編碼對照表[台語音標], 注音編碼對照表[漢字例], "")</f>
        <v>阿</v>
      </c>
      <c r="I26" s="344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44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97" t="str">
        <f xml:space="preserve"> _xlfn.XLOOKUP(按鍵設計表[[#This Row],[台語音標]], 注音編碼對照表[台語音標], 注音編碼對照表[漢字例], "")</f>
        <v>伊</v>
      </c>
      <c r="I27" s="344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44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97" t="str">
        <f xml:space="preserve"> _xlfn.XLOOKUP(按鍵設計表[[#This Row],[台語音標]], 注音編碼對照表[台語音標], 注音編碼對照表[漢字例], "")</f>
        <v>猪</v>
      </c>
      <c r="I28" s="344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44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97" t="str">
        <f xml:space="preserve"> _xlfn.XLOOKUP(按鍵設計表[[#This Row],[台語音標]], 注音編碼對照表[台語音標], 注音編碼對照表[漢字例], "")</f>
        <v>污</v>
      </c>
      <c r="I29" s="344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44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97" t="str">
        <f xml:space="preserve"> _xlfn.XLOOKUP(按鍵設計表[[#This Row],[台語音標]], 注音編碼對照表[台語音標], 注音編碼對照表[漢字例], "")</f>
        <v>稽</v>
      </c>
      <c r="I30" s="344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44" t="s">
        <v>183</v>
      </c>
      <c r="E31" s="213" t="s">
        <v>41</v>
      </c>
      <c r="F31" s="213" t="s">
        <v>41</v>
      </c>
      <c r="G31" s="213" t="str">
        <f xml:space="preserve"> _xlfn.XLOOKUP(按鍵設計表[[#This Row],[台語音標]], 注音編碼對照表[台語音標], 注音編碼對照表[注音符號], "")</f>
        <v>ㆦ</v>
      </c>
      <c r="H31" s="397" t="str">
        <f xml:space="preserve"> _xlfn.XLOOKUP(按鍵設計表[[#This Row],[台語音標]], 注音編碼對照表[台語音標], 注音編碼對照表[漢字例], "")</f>
        <v>烏</v>
      </c>
      <c r="I31" s="344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71">
        <f t="shared" si="0"/>
        <v>28</v>
      </c>
      <c r="C32" s="372" t="s">
        <v>169</v>
      </c>
      <c r="D32" s="355" t="s">
        <v>41</v>
      </c>
      <c r="E32" s="373" t="s">
        <v>8462</v>
      </c>
      <c r="F32" s="373" t="s">
        <v>8462</v>
      </c>
      <c r="G32" s="373" t="str">
        <f xml:space="preserve"> _xlfn.XLOOKUP(按鍵設計表[[#This Row],[台語音標]], 注音編碼對照表[台語音標], 注音編碼對照表[注音符號], "")</f>
        <v>ㄜ</v>
      </c>
      <c r="H32" s="398" t="str">
        <f xml:space="preserve"> _xlfn.XLOOKUP(按鍵設計表[[#This Row],[台語音標]], 注音編碼對照表[台語音標], 注音編碼對照表[漢字例], "")</f>
        <v>蚵</v>
      </c>
      <c r="I32" s="355" t="str">
        <f xml:space="preserve"> _xlfn.XLOOKUP(按鍵設計表[[#This Row],[台語音標]], 注音編碼對照表[台語音標], 注音編碼對照表[聲韻調], "鍵")</f>
        <v>韻</v>
      </c>
      <c r="J32" s="373" t="str">
        <f xml:space="preserve"> _xlfn.XLOOKUP(按鍵設計表[[#This Row],[台語音標]], 注音編碼對照表[台語音標], 注音編碼對照表[十五音], "")</f>
        <v>高</v>
      </c>
      <c r="K32" s="373" t="str">
        <f xml:space="preserve"> _xlfn.XLOOKUP(按鍵設計表[[#This Row],[台語音標]], 注音編碼對照表[台語音標], 注音編碼對照表[注音二式], "")</f>
        <v>or</v>
      </c>
      <c r="L32" s="373" t="str">
        <f xml:space="preserve"> _xlfn.XLOOKUP(按鍵設計表[[#This Row],[台語音標]], 注音編碼對照表[台語音標], 注音編碼對照表[台羅拼音], "")</f>
        <v>o</v>
      </c>
      <c r="M32" s="373" t="str">
        <f xml:space="preserve"> _xlfn.XLOOKUP(按鍵設計表[[#This Row],[台語音標]], 注音編碼對照表[台語音標], 注音編碼對照表[白話字], "")</f>
        <v>o</v>
      </c>
      <c r="N32" s="373" t="str">
        <f xml:space="preserve"> _xlfn.XLOOKUP(按鍵設計表[[#This Row],[台語音標]], 注音編碼對照表[台語音標], 注音編碼對照表[閩拼方案], "")</f>
        <v>o</v>
      </c>
      <c r="O32" s="374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46">
        <f t="shared" si="0"/>
        <v>29</v>
      </c>
      <c r="C33" s="347" t="s">
        <v>55</v>
      </c>
      <c r="D33" s="344" t="s">
        <v>308</v>
      </c>
      <c r="E33" s="344" t="s">
        <v>260</v>
      </c>
      <c r="F33" s="344" t="s">
        <v>260</v>
      </c>
      <c r="G33" s="344" t="str">
        <f xml:space="preserve"> _xlfn.XLOOKUP(按鍵設計表[[#This Row],[台語音標]], 注音編碼對照表[台語音標], 注音編碼對照表[注音符號], "")</f>
        <v>ㆬ</v>
      </c>
      <c r="H33" s="400" t="str">
        <f xml:space="preserve"> _xlfn.XLOOKUP(按鍵設計表[[#This Row],[台語音標]], 注音編碼對照表[台語音標], 注音編碼對照表[漢字例], "")</f>
        <v>姆</v>
      </c>
      <c r="I33" s="344" t="str">
        <f xml:space="preserve"> _xlfn.XLOOKUP(按鍵設計表[[#This Row],[台語音標]], 注音編碼對照表[台語音標], 注音編碼對照表[聲韻調], "鍵")</f>
        <v>韻</v>
      </c>
      <c r="J33" s="344" t="str">
        <f xml:space="preserve"> _xlfn.XLOOKUP(按鍵設計表[[#This Row],[台語音標]], 注音編碼對照表[台語音標], 注音編碼對照表[十五音], "")</f>
        <v>姆</v>
      </c>
      <c r="K33" s="344" t="str">
        <f xml:space="preserve"> _xlfn.XLOOKUP(按鍵設計表[[#This Row],[台語音標]], 注音編碼對照表[台語音標], 注音編碼對照表[注音二式], "")</f>
        <v>m</v>
      </c>
      <c r="L33" s="344" t="str">
        <f xml:space="preserve"> _xlfn.XLOOKUP(按鍵設計表[[#This Row],[台語音標]], 注音編碼對照表[台語音標], 注音編碼對照表[台羅拼音], "")</f>
        <v>m</v>
      </c>
      <c r="M33" s="344" t="str">
        <f xml:space="preserve"> _xlfn.XLOOKUP(按鍵設計表[[#This Row],[台語音標]], 注音編碼對照表[台語音標], 注音編碼對照表[白話字], "")</f>
        <v>m</v>
      </c>
      <c r="N33" s="344" t="str">
        <f xml:space="preserve"> _xlfn.XLOOKUP(按鍵設計表[[#This Row],[台語音標]], 注音編碼對照表[台語音標], 注音編碼對照表[閩拼方案], "")</f>
        <v>m</v>
      </c>
      <c r="O33" s="345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44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97" t="str">
        <f xml:space="preserve"> _xlfn.XLOOKUP(按鍵設計表[[#This Row],[台語音標]], 注音編碼對照表[台語音標], 注音編碼對照表[漢字例], "")</f>
        <v>恩</v>
      </c>
      <c r="I34" s="344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71">
        <f t="shared" si="3"/>
        <v>31</v>
      </c>
      <c r="C35" s="372" t="s">
        <v>257</v>
      </c>
      <c r="D35" s="355" t="s">
        <v>250</v>
      </c>
      <c r="E35" s="373" t="s">
        <v>95</v>
      </c>
      <c r="F35" s="373" t="s">
        <v>95</v>
      </c>
      <c r="G35" s="373" t="str">
        <f xml:space="preserve"> _xlfn.XLOOKUP(按鍵設計表[[#This Row],[台語音標]], 注音編碼對照表[台語音標], 注音編碼對照表[注音符號], "")</f>
        <v>ㆭ</v>
      </c>
      <c r="H35" s="398" t="str">
        <f xml:space="preserve"> _xlfn.XLOOKUP(按鍵設計表[[#This Row],[台語音標]], 注音編碼對照表[台語音標], 注音編碼對照表[漢字例], "")</f>
        <v>秧</v>
      </c>
      <c r="I35" s="355" t="str">
        <f xml:space="preserve"> _xlfn.XLOOKUP(按鍵設計表[[#This Row],[台語音標]], 注音編碼對照表[台語音標], 注音編碼對照表[聲韻調], "鍵")</f>
        <v>韻</v>
      </c>
      <c r="J35" s="373" t="str">
        <f xml:space="preserve"> _xlfn.XLOOKUP(按鍵設計表[[#This Row],[台語音標]], 注音編碼對照表[台語音標], 注音編碼對照表[十五音], "")</f>
        <v>鋼</v>
      </c>
      <c r="K35" s="373" t="str">
        <f xml:space="preserve"> _xlfn.XLOOKUP(按鍵設計表[[#This Row],[台語音標]], 注音編碼對照表[台語音標], 注音編碼對照表[注音二式], "")</f>
        <v>ng</v>
      </c>
      <c r="L35" s="373" t="str">
        <f xml:space="preserve"> _xlfn.XLOOKUP(按鍵設計表[[#This Row],[台語音標]], 注音編碼對照表[台語音標], 注音編碼對照表[台羅拼音], "")</f>
        <v>ng</v>
      </c>
      <c r="M35" s="373" t="str">
        <f xml:space="preserve"> _xlfn.XLOOKUP(按鍵設計表[[#This Row],[台語音標]], 注音編碼對照表[台語音標], 注音編碼對照表[白話字], "")</f>
        <v>ng</v>
      </c>
      <c r="N35" s="373" t="str">
        <f xml:space="preserve"> _xlfn.XLOOKUP(按鍵設計表[[#This Row],[台語音標]], 注音編碼對照表[台語音標], 注音編碼對照表[閩拼方案], "")</f>
        <v>ng</v>
      </c>
      <c r="O35" s="374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46">
        <f t="shared" si="0"/>
        <v>32</v>
      </c>
      <c r="C36" s="347" t="s">
        <v>10</v>
      </c>
      <c r="D36" s="344" t="s">
        <v>8432</v>
      </c>
      <c r="E36" s="344" t="s">
        <v>8429</v>
      </c>
      <c r="F36" s="344" t="s">
        <v>8</v>
      </c>
      <c r="G36" s="344" t="str">
        <f xml:space="preserve"> _xlfn.XLOOKUP(按鍵設計表[[#This Row],[台語音標]], 注音編碼對照表[台語音標], 注音編碼對照表[注音符號], "",0,  1 )</f>
        <v>ㆴ</v>
      </c>
      <c r="H36" s="447" t="str">
        <f xml:space="preserve"> _xlfn.XLOOKUP(按鍵設計表[[#This Row],[台語音標]], 注音編碼對照表[台語音標], 注音編碼對照表[漢字例], "")</f>
        <v>哈沓</v>
      </c>
      <c r="I36" s="344" t="str">
        <f xml:space="preserve"> _xlfn.XLOOKUP(按鍵設計表[[#This Row],[台語音標]], 注音編碼對照表[台語音標], 注音編碼對照表[聲韻調], "鍵")</f>
        <v>韻尾</v>
      </c>
      <c r="J36" s="344">
        <f xml:space="preserve"> _xlfn.XLOOKUP(按鍵設計表[[#This Row],[台語音標]], 注音編碼對照表[台語音標], 注音編碼對照表[十五音], "")</f>
        <v>0</v>
      </c>
      <c r="K36" s="344" t="str">
        <f xml:space="preserve"> _xlfn.XLOOKUP(按鍵設計表[[#This Row],[台語音標]], 注音編碼對照表[台語音標], 注音編碼對照表[注音二式], "")</f>
        <v>p</v>
      </c>
      <c r="L36" s="344" t="str">
        <f xml:space="preserve"> _xlfn.XLOOKUP(按鍵設計表[[#This Row],[台語音標]], 注音編碼對照表[台語音標], 注音編碼對照表[台羅拼音], "")</f>
        <v>p</v>
      </c>
      <c r="M36" s="344" t="str">
        <f xml:space="preserve"> _xlfn.XLOOKUP(按鍵設計表[[#This Row],[台語音標]], 注音編碼對照表[台語音標], 注音編碼對照表[白話字], "")</f>
        <v>p</v>
      </c>
      <c r="N36" s="344" t="str">
        <f xml:space="preserve"> _xlfn.XLOOKUP(按鍵設計表[[#This Row],[台語音標]], 注音編碼對照表[台語音標], 注音編碼對照表[閩拼方案], "")</f>
        <v>p</v>
      </c>
      <c r="O36" s="345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44" t="s">
        <v>8434</v>
      </c>
      <c r="E37" s="213" t="s">
        <v>8430</v>
      </c>
      <c r="F37" s="213" t="s">
        <v>307</v>
      </c>
      <c r="G37" s="344" t="str">
        <f xml:space="preserve"> _xlfn.XLOOKUP(按鍵設計表[[#This Row],[台語音標]], 注音編碼對照表[台語音標], 注音編碼對照表[注音符號], "")</f>
        <v>ㆵ</v>
      </c>
      <c r="H37" s="448" t="str">
        <f xml:space="preserve"> _xlfn.XLOOKUP(按鍵設計表[[#This Row],[台語音標]], 注音編碼對照表[台語音標], 注音編碼對照表[漢字例], "")</f>
        <v>叭別</v>
      </c>
      <c r="I37" s="344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44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48" t="str">
        <f xml:space="preserve"> _xlfn.XLOOKUP(按鍵設計表[[#This Row],[台語音標]], 注音編碼對照表[台語音標], 注音編碼對照表[漢字例], "")</f>
        <v>德俗</v>
      </c>
      <c r="I38" s="344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71">
        <f t="shared" si="0"/>
        <v>35</v>
      </c>
      <c r="C39" s="372" t="s">
        <v>194</v>
      </c>
      <c r="D39" s="355" t="s">
        <v>8436</v>
      </c>
      <c r="E39" s="373" t="s">
        <v>8431</v>
      </c>
      <c r="F39" s="373" t="s">
        <v>32</v>
      </c>
      <c r="G39" s="373" t="str">
        <f xml:space="preserve"> _xlfn.XLOOKUP(按鍵設計表[[#This Row],[台語音標]], 注音編碼對照表[台語音標], 注音編碼對照表[注音符號], "")</f>
        <v>ㆻ</v>
      </c>
      <c r="H39" s="449" t="str">
        <f xml:space="preserve"> _xlfn.XLOOKUP(按鍵設計表[[#This Row],[台語音標]], 注音編碼對照表[台語音標], 注音編碼對照表[漢字例], "")</f>
        <v>德俗</v>
      </c>
      <c r="I39" s="355" t="str">
        <f xml:space="preserve"> _xlfn.XLOOKUP(按鍵設計表[[#This Row],[台語音標]], 注音編碼對照表[台語音標], 注音編碼對照表[聲韻調], "鍵")</f>
        <v>韻尾</v>
      </c>
      <c r="J39" s="373">
        <f xml:space="preserve"> _xlfn.XLOOKUP(按鍵設計表[[#This Row],[台語音標]], 注音編碼對照表[台語音標], 注音編碼對照表[十五音], "")</f>
        <v>0</v>
      </c>
      <c r="K39" s="373" t="str">
        <f xml:space="preserve"> _xlfn.XLOOKUP(按鍵設計表[[#This Row],[台語音標]], 注音編碼對照表[台語音標], 注音編碼對照表[注音二式], "")</f>
        <v>k</v>
      </c>
      <c r="L39" s="373" t="str">
        <f xml:space="preserve"> _xlfn.XLOOKUP(按鍵設計表[[#This Row],[台語音標]], 注音編碼對照表[台語音標], 注音編碼對照表[台羅拼音], "")</f>
        <v>k</v>
      </c>
      <c r="M39" s="373" t="str">
        <f xml:space="preserve"> _xlfn.XLOOKUP(按鍵設計表[[#This Row],[台語音標]], 注音編碼對照表[台語音標], 注音編碼對照表[白話字], "")</f>
        <v>k</v>
      </c>
      <c r="N39" s="373" t="str">
        <f xml:space="preserve"> _xlfn.XLOOKUP(按鍵設計表[[#This Row],[台語音標]], 注音編碼對照表[台語音標], 注音編碼對照表[閩拼方案], "")</f>
        <v>k</v>
      </c>
      <c r="O39" s="374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46">
        <f t="shared" si="0"/>
        <v>36</v>
      </c>
      <c r="C40" s="347" t="s">
        <v>8415</v>
      </c>
      <c r="D40" s="344" t="s">
        <v>175</v>
      </c>
      <c r="E40" s="344" t="s">
        <v>149</v>
      </c>
      <c r="F40" s="344" t="s">
        <v>149</v>
      </c>
      <c r="G40" s="344" t="str">
        <f xml:space="preserve"> _xlfn.XLOOKUP(按鍵設計表[[#This Row],[台語音標]], 注音編碼對照表[台語音標], 注音編碼對照表[注音符號], "")</f>
        <v>ㄞ</v>
      </c>
      <c r="H40" s="400" t="str">
        <f xml:space="preserve"> _xlfn.XLOOKUP(按鍵設計表[[#This Row],[台語音標]], 注音編碼對照表[台語音標], 注音編碼對照表[漢字例], "")</f>
        <v>哀</v>
      </c>
      <c r="I40" s="344" t="str">
        <f xml:space="preserve"> _xlfn.XLOOKUP(按鍵設計表[[#This Row],[台語音標]], 注音編碼對照表[台語音標], 注音編碼對照表[聲韻調], "鍵")</f>
        <v>韻</v>
      </c>
      <c r="J40" s="344" t="str">
        <f xml:space="preserve"> _xlfn.XLOOKUP(按鍵設計表[[#This Row],[台語音標]], 注音編碼對照表[台語音標], 注音編碼對照表[十五音], "")</f>
        <v>皆</v>
      </c>
      <c r="K40" s="344" t="str">
        <f xml:space="preserve"> _xlfn.XLOOKUP(按鍵設計表[[#This Row],[台語音標]], 注音編碼對照表[台語音標], 注音編碼對照表[注音二式], "")</f>
        <v>ai</v>
      </c>
      <c r="L40" s="344" t="str">
        <f xml:space="preserve"> _xlfn.XLOOKUP(按鍵設計表[[#This Row],[台語音標]], 注音編碼對照表[台語音標], 注音編碼對照表[台羅拼音], "")</f>
        <v>ai</v>
      </c>
      <c r="M40" s="344" t="str">
        <f xml:space="preserve"> _xlfn.XLOOKUP(按鍵設計表[[#This Row],[台語音標]], 注音編碼對照表[台語音標], 注音編碼對照表[白話字], "")</f>
        <v>ai</v>
      </c>
      <c r="N40" s="344" t="str">
        <f xml:space="preserve"> _xlfn.XLOOKUP(按鍵設計表[[#This Row],[台語音標]], 注音編碼對照表[台語音標], 注音編碼對照表[閩拼方案], "")</f>
        <v>ai</v>
      </c>
      <c r="O40" s="345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44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97" t="str">
        <f xml:space="preserve"> _xlfn.XLOOKUP(按鍵設計表[[#This Row],[台語音標]], 注音編碼對照表[台語音標], 注音編碼對照表[漢字例], "")</f>
        <v>甌</v>
      </c>
      <c r="I41" s="344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44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97" t="str">
        <f xml:space="preserve"> _xlfn.XLOOKUP(按鍵設計表[[#This Row],[台語音標]], 注音編碼對照表[台語音標], 注音編碼對照表[漢字例], "")</f>
        <v>庵</v>
      </c>
      <c r="I42" s="344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44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97" t="str">
        <f xml:space="preserve"> _xlfn.XLOOKUP(按鍵設計表[[#This Row],[台語音標]], 注音編碼對照表[台語音標], 注音編碼對照表[漢字例], "")</f>
        <v>安</v>
      </c>
      <c r="I43" s="344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44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97" t="str">
        <f xml:space="preserve"> _xlfn.XLOOKUP(按鍵設計表[[#This Row],[台語音標]], 注音編碼對照表[台語音標], 注音編碼對照表[漢字例], "")</f>
        <v>尪</v>
      </c>
      <c r="I44" s="344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44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97" t="str">
        <f xml:space="preserve"> _xlfn.XLOOKUP(按鍵設計表[[#This Row],[台語音標]], 注音編碼對照表[台語音標], 注音編碼對照表[漢字例], "")</f>
        <v>丼</v>
      </c>
      <c r="I45" s="344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71">
        <f t="shared" si="3"/>
        <v>42</v>
      </c>
      <c r="C46" s="372" t="s">
        <v>42</v>
      </c>
      <c r="D46" s="355" t="s">
        <v>103</v>
      </c>
      <c r="E46" s="373" t="s">
        <v>201</v>
      </c>
      <c r="F46" s="373" t="s">
        <v>8317</v>
      </c>
      <c r="G46" s="373" t="str">
        <f xml:space="preserve"> _xlfn.XLOOKUP(按鍵設計表[[#This Row],[台語音標]], 注音編碼對照表[台語音標], 注音編碼對照表[注音符號], "")</f>
        <v>ㆲ</v>
      </c>
      <c r="H46" s="398" t="str">
        <f xml:space="preserve"> _xlfn.XLOOKUP(按鍵設計表[[#This Row],[台語音標]], 注音編碼對照表[台語音標], 注音編碼對照表[漢字例], "")</f>
        <v>汪</v>
      </c>
      <c r="I46" s="355" t="str">
        <f xml:space="preserve"> _xlfn.XLOOKUP(按鍵設計表[[#This Row],[台語音標]], 注音編碼對照表[台語音標], 注音編碼對照表[聲韻調], "鍵")</f>
        <v>韻</v>
      </c>
      <c r="J46" s="373" t="str">
        <f xml:space="preserve"> _xlfn.XLOOKUP(按鍵設計表[[#This Row],[台語音標]], 注音編碼對照表[台語音標], 注音編碼對照表[十五音], "")</f>
        <v>公</v>
      </c>
      <c r="K46" s="373" t="str">
        <f xml:space="preserve"> _xlfn.XLOOKUP(按鍵設計表[[#This Row],[台語音標]], 注音編碼對照表[台語音標], 注音編碼對照表[注音二式], "")</f>
        <v>ong</v>
      </c>
      <c r="L46" s="373" t="str">
        <f xml:space="preserve"> _xlfn.XLOOKUP(按鍵設計表[[#This Row],[台語音標]], 注音編碼對照表[台語音標], 注音編碼對照表[台羅拼音], "")</f>
        <v>ong</v>
      </c>
      <c r="M46" s="373" t="str">
        <f xml:space="preserve"> _xlfn.XLOOKUP(按鍵設計表[[#This Row],[台語音標]], 注音編碼對照表[台語音標], 注音編碼對照表[白話字], "")</f>
        <v>ong</v>
      </c>
      <c r="N46" s="373" t="str">
        <f xml:space="preserve"> _xlfn.XLOOKUP(按鍵設計表[[#This Row],[台語音標]], 注音編碼對照表[台語音標], 注音編碼對照表[閩拼方案], "")</f>
        <v>ong</v>
      </c>
      <c r="O46" s="374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46">
        <f t="shared" si="0"/>
        <v>43</v>
      </c>
      <c r="C47" s="347" t="s">
        <v>248</v>
      </c>
      <c r="D47" s="344" t="s">
        <v>150</v>
      </c>
      <c r="E47" s="344" t="s">
        <v>8309</v>
      </c>
      <c r="F47" s="344" t="s">
        <v>8309</v>
      </c>
      <c r="G47" s="344" t="str">
        <f xml:space="preserve"> _xlfn.XLOOKUP(按鍵設計表[[#This Row],[台語音標]], 注音編碼對照表[台語音標], 注音編碼對照表[注音符號], "")</f>
        <v>ㆩ</v>
      </c>
      <c r="H47" s="400" t="str">
        <f xml:space="preserve"> _xlfn.XLOOKUP(按鍵設計表[[#This Row],[台語音標]], 注音編碼對照表[台語音標], 注音編碼對照表[漢字例], "")</f>
        <v>餡</v>
      </c>
      <c r="I47" s="344" t="str">
        <f xml:space="preserve"> _xlfn.XLOOKUP(按鍵設計表[[#This Row],[台語音標]], 注音編碼對照表[台語音標], 注音編碼對照表[聲韻調], "鍵")</f>
        <v>韻</v>
      </c>
      <c r="J47" s="344" t="str">
        <f xml:space="preserve"> _xlfn.XLOOKUP(按鍵設計表[[#This Row],[台語音標]], 注音編碼對照表[台語音標], 注音編碼對照表[十五音], "")</f>
        <v>監</v>
      </c>
      <c r="K47" s="344" t="str">
        <f xml:space="preserve"> _xlfn.XLOOKUP(按鍵設計表[[#This Row],[台語音標]], 注音編碼對照表[台語音標], 注音編碼對照表[注音二式], "")</f>
        <v>ann</v>
      </c>
      <c r="L47" s="344" t="str">
        <f xml:space="preserve"> _xlfn.XLOOKUP(按鍵設計表[[#This Row],[台語音標]], 注音編碼對照表[台語音標], 注音編碼對照表[台羅拼音], "")</f>
        <v>ann</v>
      </c>
      <c r="M47" s="344" t="str">
        <f xml:space="preserve"> _xlfn.XLOOKUP(按鍵設計表[[#This Row],[台語音標]], 注音編碼對照表[台語音標], 注音編碼對照表[白話字], "")</f>
        <v>ann</v>
      </c>
      <c r="N47" s="344" t="str">
        <f xml:space="preserve"> _xlfn.XLOOKUP(按鍵設計表[[#This Row],[台語音標]], 注音編碼對照表[台語音標], 注音編碼對照表[閩拼方案], "")</f>
        <v>na</v>
      </c>
      <c r="O47" s="345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44" t="s">
        <v>256</v>
      </c>
      <c r="E48" s="213" t="s">
        <v>8310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97" t="str">
        <f xml:space="preserve"> _xlfn.XLOOKUP(按鍵設計表[[#This Row],[台語音標]], 注音編碼對照表[台語音標], 注音編碼對照表[漢字例], "")</f>
        <v>燕</v>
      </c>
      <c r="I48" s="344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44" t="s">
        <v>258</v>
      </c>
      <c r="E49" s="213" t="s">
        <v>8311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97" t="str">
        <f xml:space="preserve"> _xlfn.XLOOKUP(按鍵設計表[[#This Row],[台語音標]], 注音編碼對照表[台語音標], 注音編碼對照表[漢字例], "")</f>
        <v>楊</v>
      </c>
      <c r="I49" s="344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44" t="s">
        <v>147</v>
      </c>
      <c r="E50" s="213" t="s">
        <v>8312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97" t="str">
        <f xml:space="preserve"> _xlfn.XLOOKUP(按鍵設計表[[#This Row],[台語音標]], 注音編碼對照表[台語音標], 注音編碼對照表[漢字例], "")</f>
        <v>嬰</v>
      </c>
      <c r="I50" s="344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44" t="s">
        <v>148</v>
      </c>
      <c r="E51" s="213" t="s">
        <v>8313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97" t="str">
        <f xml:space="preserve"> _xlfn.XLOOKUP(按鍵設計表[[#This Row],[台語音標]], 注音編碼對照表[台語音標], 注音編碼對照表[漢字例], "")</f>
        <v>好</v>
      </c>
      <c r="I51" s="344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44" t="s">
        <v>146</v>
      </c>
      <c r="E52" s="213" t="s">
        <v>8318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97" t="str">
        <f xml:space="preserve"> _xlfn.XLOOKUP(按鍵設計表[[#This Row],[台語音標]], 注音編碼對照表[台語音標], 注音編碼對照表[漢字例], "")</f>
        <v>閂</v>
      </c>
      <c r="I52" s="344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71">
        <f t="shared" si="3"/>
        <v>49</v>
      </c>
      <c r="C53" s="372" t="s">
        <v>252</v>
      </c>
      <c r="D53" s="355" t="s">
        <v>144</v>
      </c>
      <c r="E53" s="373" t="s">
        <v>8319</v>
      </c>
      <c r="F53" s="373" t="s">
        <v>8319</v>
      </c>
      <c r="G53" s="373" t="str">
        <f xml:space="preserve"> _xlfn.XLOOKUP(按鍵設計表[[#This Row],[台語音標]], 注音編碼對照表[台語音標], 注音編碼對照表[注音符號], "")</f>
        <v>ㆯ</v>
      </c>
      <c r="H53" s="398" t="str">
        <f xml:space="preserve"> _xlfn.XLOOKUP(按鍵設計表[[#This Row],[台語音標]], 注音編碼對照表[台語音標], 注音編碼對照表[漢字例], "")</f>
        <v>爻</v>
      </c>
      <c r="I53" s="355" t="str">
        <f xml:space="preserve"> _xlfn.XLOOKUP(按鍵設計表[[#This Row],[台語音標]], 注音編碼對照表[台語音標], 注音編碼對照表[聲韻調], "鍵")</f>
        <v>韻</v>
      </c>
      <c r="J53" s="373" t="str">
        <f xml:space="preserve"> _xlfn.XLOOKUP(按鍵設計表[[#This Row],[台語音標]], 注音編碼對照表[台語音標], 注音編碼對照表[十五音], "")</f>
        <v>爻</v>
      </c>
      <c r="K53" s="373" t="str">
        <f xml:space="preserve"> _xlfn.XLOOKUP(按鍵設計表[[#This Row],[台語音標]], 注音編碼對照表[台語音標], 注音編碼對照表[注音二式], "")</f>
        <v>aunn</v>
      </c>
      <c r="L53" s="373" t="str">
        <f xml:space="preserve"> _xlfn.XLOOKUP(按鍵設計表[[#This Row],[台語音標]], 注音編碼對照表[台語音標], 注音編碼對照表[台羅拼音], "")</f>
        <v>aunn</v>
      </c>
      <c r="M53" s="373" t="str">
        <f xml:space="preserve"> _xlfn.XLOOKUP(按鍵設計表[[#This Row],[台語音標]], 注音編碼對照表[台語音標], 注音編碼對照表[白話字], "")</f>
        <v>aunn</v>
      </c>
      <c r="N53" s="373" t="str">
        <f xml:space="preserve"> _xlfn.XLOOKUP(按鍵設計表[[#This Row],[台語音標]], 注音編碼對照表[台語音標], 注音編碼對照表[閩拼方案], "")</f>
        <v>nao</v>
      </c>
      <c r="O53" s="374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46">
        <f t="shared" si="0"/>
        <v>50</v>
      </c>
      <c r="C54" s="347">
        <v>7</v>
      </c>
      <c r="D54" s="344">
        <v>0</v>
      </c>
      <c r="E54" s="344">
        <v>0</v>
      </c>
      <c r="F54" s="344">
        <v>0</v>
      </c>
      <c r="G54" s="344" t="str">
        <f xml:space="preserve"> _xlfn.XLOOKUP(按鍵設計表[[#This Row],[台語音標]], 注音編碼對照表[台語音標], 注音編碼對照表[注音符號], "")</f>
        <v>˙</v>
      </c>
      <c r="H54" s="461" t="s">
        <v>8447</v>
      </c>
      <c r="I54" s="344" t="str">
        <f xml:space="preserve"> _xlfn.XLOOKUP(按鍵設計表[[#This Row],[台語音標]], 注音編碼對照表[台語音標], 注音編碼對照表[聲韻調], "鍵")</f>
        <v>調</v>
      </c>
      <c r="J54" s="344">
        <f xml:space="preserve"> _xlfn.XLOOKUP(按鍵設計表[[#This Row],[台語音標]], 注音編碼對照表[台語音標], 注音編碼對照表[十五音], "")</f>
        <v>0</v>
      </c>
      <c r="K54" s="344">
        <f xml:space="preserve"> _xlfn.XLOOKUP(按鍵設計表[[#This Row],[台語音標]], 注音編碼對照表[台語音標], 注音編碼對照表[注音二式], "")</f>
        <v>0</v>
      </c>
      <c r="L54" s="344">
        <f xml:space="preserve"> _xlfn.XLOOKUP(按鍵設計表[[#This Row],[台語音標]], 注音編碼對照表[台語音標], 注音編碼對照表[台羅拼音], "")</f>
        <v>0</v>
      </c>
      <c r="M54" s="344">
        <f xml:space="preserve"> _xlfn.XLOOKUP(按鍵設計表[[#This Row],[台語音標]], 注音編碼對照表[台語音標], 注音編碼對照表[白話字], "")</f>
        <v>0</v>
      </c>
      <c r="N54" s="344">
        <f xml:space="preserve"> _xlfn.XLOOKUP(按鍵設計表[[#This Row],[台語音標]], 注音編碼對照表[台語音標], 注音編碼對照表[閩拼方案], "")</f>
        <v>0</v>
      </c>
      <c r="O54" s="345" t="s">
        <v>8371</v>
      </c>
      <c r="P54" s="273"/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46">
        <f t="shared" si="0"/>
        <v>51</v>
      </c>
      <c r="C55" s="347">
        <v>5</v>
      </c>
      <c r="D55" s="344">
        <v>7</v>
      </c>
      <c r="E55" s="344">
        <v>7</v>
      </c>
      <c r="F55" s="344">
        <v>7</v>
      </c>
      <c r="G55" s="344" t="str">
        <f xml:space="preserve"> _xlfn.XLOOKUP(按鍵設計表[[#This Row],[台語音標]], 注音編碼對照表[台語音標], 注音編碼對照表[注音符號], "")</f>
        <v>˫</v>
      </c>
      <c r="H55" s="400" t="s">
        <v>8446</v>
      </c>
      <c r="I55" s="344" t="str">
        <f xml:space="preserve"> _xlfn.XLOOKUP(按鍵設計表[[#This Row],[台語音標]], 注音編碼對照表[台語音標], 注音編碼對照表[聲韻調], "鍵")</f>
        <v>調</v>
      </c>
      <c r="J55" s="344">
        <f xml:space="preserve"> _xlfn.XLOOKUP(按鍵設計表[[#This Row],[台語音標]], 注音編碼對照表[台語音標], 注音編碼對照表[十五音], "")</f>
        <v>0</v>
      </c>
      <c r="K55" s="344">
        <f xml:space="preserve"> _xlfn.XLOOKUP(按鍵設計表[[#This Row],[台語音標]], 注音編碼對照表[台語音標], 注音編碼對照表[注音二式], "")</f>
        <v>7</v>
      </c>
      <c r="L55" s="344">
        <f xml:space="preserve"> _xlfn.XLOOKUP(按鍵設計表[[#This Row],[台語音標]], 注音編碼對照表[台語音標], 注音編碼對照表[台羅拼音], "")</f>
        <v>7</v>
      </c>
      <c r="M55" s="344">
        <f xml:space="preserve"> _xlfn.XLOOKUP(按鍵設計表[[#This Row],[台語音標]], 注音編碼對照表[台語音標], 注音編碼對照表[白話字], "")</f>
        <v>7</v>
      </c>
      <c r="N55" s="344">
        <f xml:space="preserve"> _xlfn.XLOOKUP(按鍵設計表[[#This Row],[台語音標]], 注音編碼對照表[台語音標], 注音編碼對照表[閩拼方案], "")</f>
        <v>6</v>
      </c>
      <c r="O55" s="345"/>
      <c r="P55" s="273"/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46">
        <f t="shared" si="0"/>
        <v>52</v>
      </c>
      <c r="C56" s="347">
        <v>3</v>
      </c>
      <c r="D56" s="344">
        <v>3</v>
      </c>
      <c r="E56" s="344" t="s">
        <v>117</v>
      </c>
      <c r="F56" s="344" t="s">
        <v>117</v>
      </c>
      <c r="G56" s="344" t="str">
        <f xml:space="preserve"> _xlfn.XLOOKUP(按鍵設計表[[#This Row],[台語音標]], 注音編碼對照表[台語音標], 注音編碼對照表[注音符號], "")</f>
        <v>˪</v>
      </c>
      <c r="H56" s="400" t="s">
        <v>8448</v>
      </c>
      <c r="I56" s="344" t="str">
        <f xml:space="preserve"> _xlfn.XLOOKUP(按鍵設計表[[#This Row],[台語音標]], 注音編碼對照表[台語音標], 注音編碼對照表[聲韻調], "鍵")</f>
        <v>調</v>
      </c>
      <c r="J56" s="344">
        <f xml:space="preserve"> _xlfn.XLOOKUP(按鍵設計表[[#This Row],[台語音標]], 注音編碼對照表[台語音標], 注音編碼對照表[十五音], "")</f>
        <v>0</v>
      </c>
      <c r="K56" s="344">
        <f xml:space="preserve"> _xlfn.XLOOKUP(按鍵設計表[[#This Row],[台語音標]], 注音編碼對照表[台語音標], 注音編碼對照表[注音二式], "")</f>
        <v>3</v>
      </c>
      <c r="L56" s="344">
        <f xml:space="preserve"> _xlfn.XLOOKUP(按鍵設計表[[#This Row],[台語音標]], 注音編碼對照表[台語音標], 注音編碼對照表[台羅拼音], "")</f>
        <v>3</v>
      </c>
      <c r="M56" s="344">
        <f xml:space="preserve"> _xlfn.XLOOKUP(按鍵設計表[[#This Row],[台語音標]], 注音編碼對照表[台語音標], 注音編碼對照表[白話字], "")</f>
        <v>3</v>
      </c>
      <c r="N56" s="344">
        <f xml:space="preserve"> _xlfn.XLOOKUP(按鍵設計表[[#This Row],[台語音標]], 注音編碼對照表[台語音標], 注音編碼對照表[閩拼方案], "")</f>
        <v>5</v>
      </c>
      <c r="O56" s="345"/>
      <c r="P56" s="273"/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46">
        <f t="shared" si="0"/>
        <v>53</v>
      </c>
      <c r="C57" s="347">
        <v>4</v>
      </c>
      <c r="D57" s="344">
        <v>2</v>
      </c>
      <c r="E57" s="344" t="s">
        <v>184</v>
      </c>
      <c r="F57" s="344" t="s">
        <v>184</v>
      </c>
      <c r="G57" s="344" t="str">
        <f xml:space="preserve"> _xlfn.XLOOKUP(按鍵設計表[[#This Row],[台語音標]], 注音編碼對照表[台語音標], 注音編碼對照表[注音符號], "")</f>
        <v>ˋ</v>
      </c>
      <c r="H57" s="400" t="s">
        <v>8445</v>
      </c>
      <c r="I57" s="344" t="str">
        <f xml:space="preserve"> _xlfn.XLOOKUP(按鍵設計表[[#This Row],[台語音標]], 注音編碼對照表[台語音標], 注音編碼對照表[聲韻調], "鍵")</f>
        <v>調</v>
      </c>
      <c r="J57" s="344">
        <f xml:space="preserve"> _xlfn.XLOOKUP(按鍵設計表[[#This Row],[台語音標]], 注音編碼對照表[台語音標], 注音編碼對照表[十五音], "")</f>
        <v>0</v>
      </c>
      <c r="K57" s="344">
        <f xml:space="preserve"> _xlfn.XLOOKUP(按鍵設計表[[#This Row],[台語音標]], 注音編碼對照表[台語音標], 注音編碼對照表[注音二式], "")</f>
        <v>2</v>
      </c>
      <c r="L57" s="344">
        <f xml:space="preserve"> _xlfn.XLOOKUP(按鍵設計表[[#This Row],[台語音標]], 注音編碼對照表[台語音標], 注音編碼對照表[台羅拼音], "")</f>
        <v>2</v>
      </c>
      <c r="M57" s="344">
        <f xml:space="preserve"> _xlfn.XLOOKUP(按鍵設計表[[#This Row],[台語音標]], 注音編碼對照表[台語音標], 注音編碼對照表[白話字], "")</f>
        <v>2</v>
      </c>
      <c r="N57" s="344">
        <f xml:space="preserve"> _xlfn.XLOOKUP(按鍵設計表[[#This Row],[台語音標]], 注音編碼對照表[台語音標], 注音編碼對照表[閩拼方案], "")</f>
        <v>3</v>
      </c>
      <c r="O57" s="345"/>
      <c r="P57" s="273"/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46">
        <f t="shared" si="0"/>
        <v>54</v>
      </c>
      <c r="C58" s="347">
        <v>6</v>
      </c>
      <c r="D58" s="344">
        <v>5</v>
      </c>
      <c r="E58" s="344" t="s">
        <v>107</v>
      </c>
      <c r="F58" s="344" t="s">
        <v>107</v>
      </c>
      <c r="G58" s="344" t="str">
        <f xml:space="preserve"> _xlfn.XLOOKUP(按鍵設計表[[#This Row],[台語音標]], 注音編碼對照表[台語音標], 注音編碼對照表[注音符號], "")</f>
        <v>ˊ</v>
      </c>
      <c r="H58" s="400" t="s">
        <v>8444</v>
      </c>
      <c r="I58" s="344" t="str">
        <f xml:space="preserve"> _xlfn.XLOOKUP(按鍵設計表[[#This Row],[台語音標]], 注音編碼對照表[台語音標], 注音編碼對照表[聲韻調], "鍵")</f>
        <v>調</v>
      </c>
      <c r="J58" s="344">
        <f xml:space="preserve"> _xlfn.XLOOKUP(按鍵設計表[[#This Row],[台語音標]], 注音編碼對照表[台語音標], 注音編碼對照表[十五音], "")</f>
        <v>0</v>
      </c>
      <c r="K58" s="344">
        <f xml:space="preserve"> _xlfn.XLOOKUP(按鍵設計表[[#This Row],[台語音標]], 注音編碼對照表[台語音標], 注音編碼對照表[注音二式], "")</f>
        <v>5</v>
      </c>
      <c r="L58" s="344">
        <f xml:space="preserve"> _xlfn.XLOOKUP(按鍵設計表[[#This Row],[台語音標]], 注音編碼對照表[台語音標], 注音編碼對照表[台羅拼音], "")</f>
        <v>5</v>
      </c>
      <c r="M58" s="344">
        <f xml:space="preserve"> _xlfn.XLOOKUP(按鍵設計表[[#This Row],[台語音標]], 注音編碼對照表[台語音標], 注音編碼對照表[白話字], "")</f>
        <v>5</v>
      </c>
      <c r="N58" s="344">
        <f xml:space="preserve"> _xlfn.XLOOKUP(按鍵設計表[[#This Row],[台語音標]], 注音編碼對照表[台語音標], 注音編碼對照表[閩拼方案], "")</f>
        <v>2</v>
      </c>
      <c r="O58" s="345"/>
      <c r="P58" s="273"/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46">
        <f t="shared" si="0"/>
        <v>55</v>
      </c>
      <c r="C59" s="424" t="s">
        <v>8274</v>
      </c>
      <c r="D59" s="458"/>
      <c r="E59" s="344" t="s">
        <v>8442</v>
      </c>
      <c r="F59" s="344" t="s">
        <v>132</v>
      </c>
      <c r="G59" s="344" t="s">
        <v>89</v>
      </c>
      <c r="H59" s="458"/>
      <c r="I59" s="457" t="str">
        <f xml:space="preserve"> _xlfn.XLOOKUP(按鍵設計表[[#This Row],[台語音標]], 注音編碼對照表[台語音標], 注音編碼對照表[聲韻調], "鍵")</f>
        <v>鍵</v>
      </c>
      <c r="J59" s="352" t="s">
        <v>8321</v>
      </c>
      <c r="K59" s="352" t="s">
        <v>8321</v>
      </c>
      <c r="L59" s="352" t="s">
        <v>8293</v>
      </c>
      <c r="M59" s="352" t="s">
        <v>8293</v>
      </c>
      <c r="N59" s="352" t="s">
        <v>8322</v>
      </c>
      <c r="O59" s="348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46">
        <f t="shared" si="0"/>
        <v>56</v>
      </c>
      <c r="C60" s="375" t="s">
        <v>254</v>
      </c>
      <c r="D60" s="459"/>
      <c r="E60" s="376" t="s">
        <v>8373</v>
      </c>
      <c r="F60" s="376" t="s">
        <v>8372</v>
      </c>
      <c r="G60" s="376" t="s">
        <v>8237</v>
      </c>
      <c r="H60" s="459"/>
      <c r="I60" s="457" t="str">
        <f xml:space="preserve"> _xlfn.XLOOKUP(按鍵設計表[[#This Row],[台語音標]], 注音編碼對照表[台語音標], 注音編碼對照表[聲韻調], "鍵")</f>
        <v>鍵</v>
      </c>
      <c r="J60" s="376">
        <v>0</v>
      </c>
      <c r="K60" s="376">
        <v>0</v>
      </c>
      <c r="L60" s="376">
        <v>0</v>
      </c>
      <c r="M60" s="376">
        <v>0</v>
      </c>
      <c r="N60" s="376">
        <v>0</v>
      </c>
      <c r="O60" s="345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46">
        <f t="shared" si="0"/>
        <v>57</v>
      </c>
      <c r="C61" s="354" t="s">
        <v>8226</v>
      </c>
      <c r="D61" s="460"/>
      <c r="E61" s="355" t="s">
        <v>152</v>
      </c>
      <c r="F61" s="355" t="s">
        <v>152</v>
      </c>
      <c r="G61" s="355" t="s">
        <v>8233</v>
      </c>
      <c r="H61" s="460"/>
      <c r="I61" s="457" t="str">
        <f xml:space="preserve"> _xlfn.XLOOKUP(按鍵設計表[[#This Row],[台語音標]], 注音編碼對照表[台語音標], 注音編碼對照表[聲韻調], "鍵")</f>
        <v>鍵</v>
      </c>
      <c r="J61" s="355" t="s">
        <v>8232</v>
      </c>
      <c r="K61" s="355" t="s">
        <v>8232</v>
      </c>
      <c r="L61" s="355" t="s">
        <v>8283</v>
      </c>
      <c r="M61" s="355" t="s">
        <v>8283</v>
      </c>
      <c r="N61" s="355" t="s">
        <v>8232</v>
      </c>
      <c r="O61" s="389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25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26"/>
    </row>
    <row r="66" spans="2:15" ht="33" thickBot="1">
      <c r="B66" s="427">
        <v>56</v>
      </c>
      <c r="C66" s="428" t="s">
        <v>8369</v>
      </c>
      <c r="D66" s="429">
        <v>8</v>
      </c>
      <c r="E66" s="429" t="s">
        <v>8372</v>
      </c>
      <c r="F66" s="429"/>
      <c r="G66" s="429" t="s">
        <v>8194</v>
      </c>
      <c r="H66" s="429" t="s">
        <v>8194</v>
      </c>
      <c r="I66" s="373" t="s">
        <v>8194</v>
      </c>
      <c r="J66" s="429" t="s">
        <v>8194</v>
      </c>
      <c r="K66" s="429" t="s">
        <v>8194</v>
      </c>
      <c r="L66" s="429" t="s">
        <v>8194</v>
      </c>
      <c r="M66" s="429" t="s">
        <v>8194</v>
      </c>
      <c r="N66" s="429" t="s">
        <v>8194</v>
      </c>
      <c r="O66" s="430" t="s">
        <v>8370</v>
      </c>
    </row>
    <row r="69" spans="2:15">
      <c r="D69" s="157" t="s">
        <v>8424</v>
      </c>
      <c r="I69" s="157" t="s">
        <v>8423</v>
      </c>
    </row>
    <row r="70" spans="2:15">
      <c r="C70" s="443" t="s">
        <v>5</v>
      </c>
      <c r="D70" s="440">
        <f xml:space="preserve"> _xlfn.UNICODE(C70)</f>
        <v>12549</v>
      </c>
      <c r="E70" s="441" t="str">
        <f xml:space="preserve"> _xlfn.UNICHAR(D70)</f>
        <v>ㄅ</v>
      </c>
      <c r="H70" s="442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43" t="s">
        <v>11</v>
      </c>
      <c r="D71" s="440">
        <f t="shared" ref="D71:D73" si="5" xml:space="preserve"> _xlfn.UNICODE(C71)</f>
        <v>12553</v>
      </c>
      <c r="E71" s="441" t="str">
        <f t="shared" ref="E71:E73" si="6" xml:space="preserve"> _xlfn.UNICHAR(D71)</f>
        <v>ㄉ</v>
      </c>
      <c r="H71" s="442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43" t="s">
        <v>17</v>
      </c>
      <c r="D72" s="440">
        <f t="shared" si="5"/>
        <v>12557</v>
      </c>
      <c r="E72" s="441" t="str">
        <f t="shared" si="6"/>
        <v>ㄍ</v>
      </c>
      <c r="H72" s="442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43" t="s">
        <v>31</v>
      </c>
      <c r="D73" s="440">
        <f t="shared" si="5"/>
        <v>12559</v>
      </c>
      <c r="E73" s="441" t="str">
        <f t="shared" si="6"/>
        <v>ㄏ</v>
      </c>
      <c r="H73" s="442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126"/>
  <sheetViews>
    <sheetView showGridLines="0" tabSelected="1" topLeftCell="A36" zoomScale="60" zoomScaleNormal="60" workbookViewId="0">
      <selection activeCell="P49" sqref="P49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21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21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21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21"/>
      <c r="CH2" s="421"/>
      <c r="CJ2" s="255" t="s">
        <v>8200</v>
      </c>
      <c r="CK2" s="255" t="s">
        <v>8204</v>
      </c>
      <c r="CP2" s="256"/>
      <c r="CR2" s="421"/>
      <c r="CS2" s="13"/>
      <c r="CT2" s="422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21"/>
      <c r="CQ3" s="256"/>
      <c r="CR3" s="421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9" t="s">
        <v>8235</v>
      </c>
      <c r="AG4" s="328"/>
      <c r="AH4" s="38" t="s">
        <v>8283</v>
      </c>
      <c r="AI4" s="327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25" t="s">
        <v>3</v>
      </c>
      <c r="BQ4" s="317" t="s">
        <v>8197</v>
      </c>
      <c r="BR4" s="318" t="s">
        <v>8221</v>
      </c>
      <c r="BS4" s="319" t="s">
        <v>8296</v>
      </c>
      <c r="BT4" s="317" t="s">
        <v>203</v>
      </c>
      <c r="BU4" s="320" t="s">
        <v>8196</v>
      </c>
      <c r="BV4" s="14"/>
      <c r="BX4" s="25"/>
      <c r="BZ4" s="326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26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26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10" t="str" cm="1">
        <f t="array" ref="BM5">INDEX($D$18:$BH$18, 1, $BO5)</f>
        <v>ㆠ</v>
      </c>
      <c r="BN5" s="410" t="str" cm="1">
        <f t="array" aca="1" ref="BN5" ca="1">INDIRECT(ADDRESS(17, COLUMN($D$18) + $BO5 - 1))</f>
        <v>!</v>
      </c>
      <c r="BO5" s="39">
        <f xml:space="preserve"> ROW() - 4</f>
        <v>1</v>
      </c>
      <c r="BP5" s="321" t="str" cm="1">
        <f t="array" ref="BP5:BP61">TRANSPOSE($D$18:$BH$18)</f>
        <v>ㆠ</v>
      </c>
      <c r="BQ5" s="322" t="str">
        <f xml:space="preserve"> _xlfn.XLOOKUP(BP5, 按鍵設計表[注音符號], 按鍵設計表[聲韻調], "")</f>
        <v>聲</v>
      </c>
      <c r="BR5" s="314" t="str" cm="1">
        <f t="array" ref="BR5:BR61">TRANSPOSE($D$17:$BH$17)</f>
        <v>!</v>
      </c>
      <c r="BS5" s="315" t="str" cm="1">
        <f t="array" ref="BS5:BS61">TRANSPOSE($D$19:$BH$19)</f>
        <v>b</v>
      </c>
      <c r="BT5" s="316" t="str" cm="1">
        <f t="array" ref="BT5:BT61">TRANSPOSE($D$20:$BH$20)</f>
        <v>b</v>
      </c>
      <c r="BU5" s="323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21" t="str" cm="1">
        <f t="array" ref="BZ5:CE25" xml:space="preserve"> _xlfn._xlws.FILTER(BP5:BU61,(BQ5:BQ61=BZ2))</f>
        <v>ㆠ</v>
      </c>
      <c r="CA5" s="322" t="str">
        <v>聲</v>
      </c>
      <c r="CB5" s="314" t="str">
        <v>!</v>
      </c>
      <c r="CC5" s="315" t="str">
        <v>b</v>
      </c>
      <c r="CD5" s="316" t="str">
        <v>b</v>
      </c>
      <c r="CE5" s="323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21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21" t="str" cm="1">
        <f t="array" ref="CJ5:CO28" xml:space="preserve"> _xlfn._xlws.FILTER(BP5:BU61,(BQ5:BQ61=CJ2)*(BQ5:BQ61&lt;&gt;CK2))</f>
        <v>ㄚ</v>
      </c>
      <c r="CK5" s="322" t="str">
        <v>韻</v>
      </c>
      <c r="CL5" s="314" t="str">
        <v>8</v>
      </c>
      <c r="CM5" s="315" t="str">
        <v>a</v>
      </c>
      <c r="CN5" s="316" t="str">
        <v>a</v>
      </c>
      <c r="CO5" s="323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21" t="str" cm="1">
        <f t="array" ref="CR5:CR22">_xlfn._xlws.FILTER(CQ5:CQ61, CQ5:CQ61&lt;&gt;"")</f>
        <v xml:space="preserve">    - xform/ir/w/  # ㆨ [ir]</v>
      </c>
      <c r="CT5" s="321" t="str" cm="1">
        <f t="array" ref="CT5:CY9" xml:space="preserve"> _xlfn._xlws.FILTER(BP5:BU61,(BQ5:BQ61=CT2))</f>
        <v>˙</v>
      </c>
      <c r="CU5" s="322" t="str">
        <v>調</v>
      </c>
      <c r="CV5" s="314">
        <v>7</v>
      </c>
      <c r="CW5" s="315">
        <v>0</v>
      </c>
      <c r="CX5" s="316">
        <v>0</v>
      </c>
      <c r="CY5" s="323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33" t="s">
        <v>444</v>
      </c>
      <c r="Z6" s="434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10" t="str" cm="1">
        <f t="array" ref="BM6">INDEX($D$18:$BH$18, 1, $BO6)</f>
        <v>ㄅ</v>
      </c>
      <c r="BN6" s="410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21" t="str">
        <v>ㄅ</v>
      </c>
      <c r="BQ6" s="322" t="str">
        <f xml:space="preserve"> _xlfn.XLOOKUP(BP6, 按鍵設計表[注音符號], 按鍵設計表[聲韻調], "")</f>
        <v>聲</v>
      </c>
      <c r="BR6" s="314" t="str">
        <v>1</v>
      </c>
      <c r="BS6" s="315" t="str">
        <v>p</v>
      </c>
      <c r="BT6" s="316" t="str">
        <v>p</v>
      </c>
      <c r="BU6" s="323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21" t="str">
        <v>ㄅ</v>
      </c>
      <c r="CA6" s="322" t="str">
        <v>聲</v>
      </c>
      <c r="CB6" s="314" t="str">
        <v>1</v>
      </c>
      <c r="CC6" s="315" t="str">
        <v>p</v>
      </c>
      <c r="CD6" s="316" t="str">
        <v>p</v>
      </c>
      <c r="CE6" s="323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21" t="str">
        <v xml:space="preserve">    - xform/^th/T/    # ㄊ [ th]</v>
      </c>
      <c r="CI6" s="39">
        <f t="shared" ref="CI6:CI61" si="4" xml:space="preserve"> ROW() - 4</f>
        <v>2</v>
      </c>
      <c r="CJ6" s="321" t="str">
        <v>ㄧ</v>
      </c>
      <c r="CK6" s="322" t="str">
        <v>韻</v>
      </c>
      <c r="CL6" s="314" t="str">
        <v>u</v>
      </c>
      <c r="CM6" s="315" t="str">
        <v>i</v>
      </c>
      <c r="CN6" s="316" t="str">
        <v>i</v>
      </c>
      <c r="CO6" s="323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21" t="str">
        <v xml:space="preserve">    - xform/oo/o/  # ㆦ [oo]</v>
      </c>
      <c r="CT6" s="321" t="str">
        <v>˫</v>
      </c>
      <c r="CU6" s="322" t="str">
        <v>調</v>
      </c>
      <c r="CV6" s="314">
        <v>5</v>
      </c>
      <c r="CW6" s="315">
        <v>7</v>
      </c>
      <c r="CX6" s="316">
        <v>7</v>
      </c>
      <c r="CY6" s="323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10" t="str" cm="1">
        <f t="array" ref="BM7">INDEX($D$18:$BH$18, 1, $BO7)</f>
        <v>ㄆ</v>
      </c>
      <c r="BN7" s="410" t="str" cm="1">
        <f t="array" aca="1" ref="BN7" ca="1">INDIRECT(ADDRESS(17, COLUMN($D$18) + $BO7 - 1))</f>
        <v>q</v>
      </c>
      <c r="BO7" s="39">
        <f t="shared" si="0"/>
        <v>3</v>
      </c>
      <c r="BP7" s="321" t="str">
        <v>ㄆ</v>
      </c>
      <c r="BQ7" s="322" t="str">
        <f xml:space="preserve"> _xlfn.XLOOKUP(BP7, 按鍵設計表[注音符號], 按鍵設計表[聲韻調], "")</f>
        <v>聲</v>
      </c>
      <c r="BR7" s="314" t="str">
        <v>q</v>
      </c>
      <c r="BS7" s="315" t="str">
        <v>P</v>
      </c>
      <c r="BT7" s="316" t="str">
        <v>ph</v>
      </c>
      <c r="BU7" s="323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21" t="str">
        <v>ㄆ</v>
      </c>
      <c r="CA7" s="322" t="str">
        <v>聲</v>
      </c>
      <c r="CB7" s="314" t="str">
        <v>q</v>
      </c>
      <c r="CC7" s="315" t="str">
        <v>P</v>
      </c>
      <c r="CD7" s="316" t="str">
        <v>ph</v>
      </c>
      <c r="CE7" s="323">
        <v>2</v>
      </c>
      <c r="CG7" s="256" t="str">
        <f t="shared" si="3"/>
        <v xml:space="preserve">    - xform/^ph/P/    # ㄆ [ ph]</v>
      </c>
      <c r="CH7" s="421" t="str">
        <v xml:space="preserve">    - xform/^kh/K/    # ㄎ [ kh]</v>
      </c>
      <c r="CI7" s="39">
        <f t="shared" si="4"/>
        <v>3</v>
      </c>
      <c r="CJ7" s="321" t="str">
        <v>ㆨ</v>
      </c>
      <c r="CK7" s="322" t="str">
        <v>韻</v>
      </c>
      <c r="CL7" s="314" t="str">
        <v>K</v>
      </c>
      <c r="CM7" s="315" t="str">
        <v>w</v>
      </c>
      <c r="CN7" s="316" t="str">
        <v>ir</v>
      </c>
      <c r="CO7" s="323">
        <v>2</v>
      </c>
      <c r="CQ7" s="256" t="str">
        <f t="shared" si="5"/>
        <v xml:space="preserve">    - xform/ir/w/  # ㆨ [ir]</v>
      </c>
      <c r="CR7" s="421" t="str">
        <v xml:space="preserve">    - xform/o/ə/  # ㄜ [o]</v>
      </c>
      <c r="CT7" s="321" t="str">
        <v>˪</v>
      </c>
      <c r="CU7" s="322" t="str">
        <v>調</v>
      </c>
      <c r="CV7" s="314">
        <v>3</v>
      </c>
      <c r="CW7" s="315" t="str">
        <v>3</v>
      </c>
      <c r="CX7" s="316">
        <v>3</v>
      </c>
      <c r="CY7" s="323">
        <v>1</v>
      </c>
      <c r="DA7" s="256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10" t="str" cm="1">
        <f t="array" ref="BM8">INDEX($D$18:$BH$18, 1, $BO8)</f>
        <v>ㄇ</v>
      </c>
      <c r="BN8" s="410" t="str" cm="1">
        <f t="array" aca="1" ref="BN8" ca="1">INDIRECT(ADDRESS(17, COLUMN($D$18) + $BO8 - 1))</f>
        <v>a</v>
      </c>
      <c r="BO8" s="39">
        <f t="shared" si="0"/>
        <v>4</v>
      </c>
      <c r="BP8" s="321" t="str">
        <v>ㄇ</v>
      </c>
      <c r="BQ8" s="322" t="str">
        <f xml:space="preserve"> _xlfn.XLOOKUP(BP8, 按鍵設計表[注音符號], 按鍵設計表[聲韻調], "")</f>
        <v>聲</v>
      </c>
      <c r="BR8" s="314" t="str">
        <v>a</v>
      </c>
      <c r="BS8" s="315" t="str">
        <v>m</v>
      </c>
      <c r="BT8" s="316" t="str">
        <v>m</v>
      </c>
      <c r="BU8" s="323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21" t="str">
        <v>ㄇ</v>
      </c>
      <c r="CA8" s="322" t="str">
        <v>聲</v>
      </c>
      <c r="CB8" s="314" t="str">
        <v>a</v>
      </c>
      <c r="CC8" s="315" t="str">
        <v>m</v>
      </c>
      <c r="CD8" s="316" t="str">
        <v>m</v>
      </c>
      <c r="CE8" s="323">
        <v>1</v>
      </c>
      <c r="CG8" s="256" t="str">
        <f t="shared" si="3"/>
        <v/>
      </c>
      <c r="CH8" s="421" t="str">
        <v xml:space="preserve">    - xform/^ng/ŋ/    # ㄫ [ ng]</v>
      </c>
      <c r="CI8" s="39">
        <f t="shared" si="4"/>
        <v>4</v>
      </c>
      <c r="CJ8" s="321" t="str">
        <v>ㄨ</v>
      </c>
      <c r="CK8" s="322" t="str">
        <v>韻</v>
      </c>
      <c r="CL8" s="314" t="str">
        <v>j</v>
      </c>
      <c r="CM8" s="315" t="str">
        <v>u</v>
      </c>
      <c r="CN8" s="316" t="str">
        <v>u</v>
      </c>
      <c r="CO8" s="323">
        <v>1</v>
      </c>
      <c r="CQ8" s="256" t="str">
        <f t="shared" si="5"/>
        <v/>
      </c>
      <c r="CR8" s="421" t="str">
        <v xml:space="preserve">    - xform/-n/N/  # ㄣ [-n]</v>
      </c>
      <c r="CT8" s="321" t="str">
        <v>ˋ</v>
      </c>
      <c r="CU8" s="322" t="str">
        <v>調</v>
      </c>
      <c r="CV8" s="314">
        <v>4</v>
      </c>
      <c r="CW8" s="315" t="str">
        <v>2</v>
      </c>
      <c r="CX8" s="316">
        <v>2</v>
      </c>
      <c r="CY8" s="323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31" t="s">
        <v>144</v>
      </c>
      <c r="AD9" s="432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10" t="str" cm="1">
        <f t="array" ref="BM9">INDEX($D$18:$BH$18, 1, $BO9)</f>
        <v>ㄋ</v>
      </c>
      <c r="BN9" s="410" t="str" cm="1">
        <f t="array" aca="1" ref="BN9" ca="1">INDIRECT(ADDRESS(17, COLUMN($D$18) + $BO9 - 1))</f>
        <v>s</v>
      </c>
      <c r="BO9" s="39">
        <f t="shared" si="0"/>
        <v>5</v>
      </c>
      <c r="BP9" s="321" t="str">
        <v>ㄋ</v>
      </c>
      <c r="BQ9" s="322" t="str">
        <f xml:space="preserve"> _xlfn.XLOOKUP(BP9, 按鍵設計表[注音符號], 按鍵設計表[聲韻調], "")</f>
        <v>聲</v>
      </c>
      <c r="BR9" s="314" t="str">
        <v>s</v>
      </c>
      <c r="BS9" s="315" t="str">
        <v>n</v>
      </c>
      <c r="BT9" s="316" t="str">
        <v>n</v>
      </c>
      <c r="BU9" s="323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21" t="str">
        <v>ㄋ</v>
      </c>
      <c r="CA9" s="322" t="str">
        <v>聲</v>
      </c>
      <c r="CB9" s="314" t="str">
        <v>s</v>
      </c>
      <c r="CC9" s="315" t="str">
        <v>n</v>
      </c>
      <c r="CD9" s="316" t="str">
        <v>n</v>
      </c>
      <c r="CE9" s="323">
        <v>1</v>
      </c>
      <c r="CG9" s="256" t="str">
        <f t="shared" si="3"/>
        <v/>
      </c>
      <c r="CH9" s="421" t="str">
        <v xml:space="preserve">    - xform/^ji/J/    # ㆢ [ ji]</v>
      </c>
      <c r="CI9" s="39">
        <f t="shared" si="4"/>
        <v>5</v>
      </c>
      <c r="CJ9" s="321" t="str">
        <v>ㆤ</v>
      </c>
      <c r="CK9" s="322" t="str">
        <v>韻</v>
      </c>
      <c r="CL9" s="314" t="str">
        <v>,</v>
      </c>
      <c r="CM9" s="315" t="str">
        <v>e</v>
      </c>
      <c r="CN9" s="316" t="str">
        <v>e</v>
      </c>
      <c r="CO9" s="323">
        <v>1</v>
      </c>
      <c r="CQ9" s="256" t="str">
        <f t="shared" si="5"/>
        <v/>
      </c>
      <c r="CR9" s="421" t="str">
        <v xml:space="preserve">    - xform/-ng/G/  # ㆭ [-ng]</v>
      </c>
      <c r="CT9" s="321" t="str">
        <v>ˊ</v>
      </c>
      <c r="CU9" s="322" t="str">
        <v>調</v>
      </c>
      <c r="CV9" s="314">
        <v>6</v>
      </c>
      <c r="CW9" s="315" t="str">
        <v>5</v>
      </c>
      <c r="CX9" s="316">
        <v>5</v>
      </c>
      <c r="CY9" s="323">
        <v>1</v>
      </c>
      <c r="DA9" s="256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10" t="str" cm="1">
        <f t="array" ref="BM10">INDEX($D$18:$BH$18, 1, $BO10)</f>
        <v>ㄉ</v>
      </c>
      <c r="BN10" s="410" t="str" cm="1">
        <f t="array" aca="1" ref="BN10" ca="1">INDIRECT(ADDRESS(17, COLUMN($D$18) + $BO10 - 1))</f>
        <v>2</v>
      </c>
      <c r="BO10" s="39">
        <f t="shared" si="0"/>
        <v>6</v>
      </c>
      <c r="BP10" s="321" t="str">
        <v>ㄉ</v>
      </c>
      <c r="BQ10" s="322" t="str">
        <f xml:space="preserve"> _xlfn.XLOOKUP(BP10, 按鍵設計表[注音符號], 按鍵設計表[聲韻調], "")</f>
        <v>聲</v>
      </c>
      <c r="BR10" s="314" t="str">
        <v>2</v>
      </c>
      <c r="BS10" s="315" t="str">
        <v>t</v>
      </c>
      <c r="BT10" s="316" t="str">
        <v>t</v>
      </c>
      <c r="BU10" s="323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21" t="str">
        <v>ㄉ</v>
      </c>
      <c r="CA10" s="322" t="str">
        <v>聲</v>
      </c>
      <c r="CB10" s="314" t="str">
        <v>2</v>
      </c>
      <c r="CC10" s="315" t="str">
        <v>t</v>
      </c>
      <c r="CD10" s="316" t="str">
        <v>t</v>
      </c>
      <c r="CE10" s="323">
        <v>1</v>
      </c>
      <c r="CG10" s="256" t="str">
        <f t="shared" si="3"/>
        <v/>
      </c>
      <c r="CH10" s="421" t="str">
        <v xml:space="preserve">    - xform/^zi/Z/    # ㄐ [ zi]</v>
      </c>
      <c r="CI10" s="39">
        <f t="shared" si="4"/>
        <v>6</v>
      </c>
      <c r="CJ10" s="321" t="str">
        <v>ㆦ</v>
      </c>
      <c r="CK10" s="322" t="str">
        <v>韻</v>
      </c>
      <c r="CL10" s="314" t="str">
        <v>i</v>
      </c>
      <c r="CM10" s="315" t="str">
        <v>o</v>
      </c>
      <c r="CN10" s="316" t="str">
        <v>oo</v>
      </c>
      <c r="CO10" s="323">
        <v>2</v>
      </c>
      <c r="CQ10" s="256" t="str">
        <f t="shared" si="5"/>
        <v xml:space="preserve">    - xform/oo/o/  # ㆦ [oo]</v>
      </c>
      <c r="CR10" s="421" t="str">
        <v xml:space="preserve">    - xform/ai/I/  # ㄞ [ai]</v>
      </c>
      <c r="CT10" s="321"/>
      <c r="CU10" s="322"/>
      <c r="CV10" s="314"/>
      <c r="CW10" s="315"/>
      <c r="CX10" s="316"/>
      <c r="CY10" s="323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10" t="str" cm="1">
        <f t="array" ref="BM11">INDEX($D$18:$BH$18, 1, $BO11)</f>
        <v>ㄊ</v>
      </c>
      <c r="BN11" s="410" t="str" cm="1">
        <f t="array" aca="1" ref="BN11" ca="1">INDIRECT(ADDRESS(17, COLUMN($D$18) + $BO11 - 1))</f>
        <v>w</v>
      </c>
      <c r="BO11" s="39">
        <f t="shared" si="0"/>
        <v>7</v>
      </c>
      <c r="BP11" s="321" t="str">
        <v>ㄊ</v>
      </c>
      <c r="BQ11" s="322" t="str">
        <f xml:space="preserve"> _xlfn.XLOOKUP(BP11, 按鍵設計表[注音符號], 按鍵設計表[聲韻調], "")</f>
        <v>聲</v>
      </c>
      <c r="BR11" s="314" t="str">
        <v>w</v>
      </c>
      <c r="BS11" s="315" t="str">
        <v>T</v>
      </c>
      <c r="BT11" s="316" t="str">
        <v>th</v>
      </c>
      <c r="BU11" s="323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21" t="str">
        <v>ㄊ</v>
      </c>
      <c r="CA11" s="322" t="str">
        <v>聲</v>
      </c>
      <c r="CB11" s="314" t="str">
        <v>w</v>
      </c>
      <c r="CC11" s="315" t="str">
        <v>T</v>
      </c>
      <c r="CD11" s="316" t="str">
        <v>th</v>
      </c>
      <c r="CE11" s="323">
        <v>2</v>
      </c>
      <c r="CG11" s="256" t="str">
        <f t="shared" si="3"/>
        <v xml:space="preserve">    - xform/^th/T/    # ㄊ [ th]</v>
      </c>
      <c r="CH11" s="421" t="str">
        <v xml:space="preserve">    - xform/^ci/C/    # ㄑ [ ci]</v>
      </c>
      <c r="CI11" s="39">
        <f t="shared" si="4"/>
        <v>7</v>
      </c>
      <c r="CJ11" s="321" t="str">
        <v>ㄜ</v>
      </c>
      <c r="CK11" s="322" t="str">
        <v>韻</v>
      </c>
      <c r="CL11" s="314" t="str">
        <v>k</v>
      </c>
      <c r="CM11" s="315" t="str">
        <v>ə</v>
      </c>
      <c r="CN11" s="316" t="str">
        <v>o</v>
      </c>
      <c r="CO11" s="323">
        <v>1</v>
      </c>
      <c r="CQ11" s="256" t="str">
        <f t="shared" si="5"/>
        <v xml:space="preserve">    - xform/o/ə/  # ㄜ [o]</v>
      </c>
      <c r="CR11" s="421" t="str">
        <v xml:space="preserve">    - xform/au/U/  # ㄠ [au]</v>
      </c>
      <c r="CT11" s="321"/>
      <c r="CU11" s="322"/>
      <c r="CV11" s="314"/>
      <c r="CW11" s="315"/>
      <c r="CX11" s="316"/>
      <c r="CY11" s="323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10" t="str" cm="1">
        <f t="array" ref="BM12">INDEX($D$18:$BH$18, 1, $BO12)</f>
        <v>ㄌ</v>
      </c>
      <c r="BN12" s="410" t="str" cm="1">
        <f t="array" aca="1" ref="BN12" ca="1">INDIRECT(ADDRESS(17, COLUMN($D$18) + $BO12 - 1))</f>
        <v>x</v>
      </c>
      <c r="BO12" s="39">
        <f t="shared" si="0"/>
        <v>8</v>
      </c>
      <c r="BP12" s="321" t="str">
        <v>ㄌ</v>
      </c>
      <c r="BQ12" s="322" t="str">
        <f xml:space="preserve"> _xlfn.XLOOKUP(BP12, 按鍵設計表[注音符號], 按鍵設計表[聲韻調], "")</f>
        <v>聲</v>
      </c>
      <c r="BR12" s="314" t="str">
        <v>x</v>
      </c>
      <c r="BS12" s="315" t="str">
        <v>l</v>
      </c>
      <c r="BT12" s="316" t="str">
        <v>l</v>
      </c>
      <c r="BU12" s="323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21" t="str">
        <v>ㄌ</v>
      </c>
      <c r="CA12" s="322" t="str">
        <v>聲</v>
      </c>
      <c r="CB12" s="314" t="str">
        <v>x</v>
      </c>
      <c r="CC12" s="315" t="str">
        <v>l</v>
      </c>
      <c r="CD12" s="316" t="str">
        <v>l</v>
      </c>
      <c r="CE12" s="323">
        <v>1</v>
      </c>
      <c r="CG12" s="256" t="str">
        <f t="shared" si="3"/>
        <v/>
      </c>
      <c r="CH12" s="421" t="str">
        <v xml:space="preserve">    - xform/^si/S/    # ㄒ [ si]</v>
      </c>
      <c r="CI12" s="39">
        <f t="shared" si="4"/>
        <v>8</v>
      </c>
      <c r="CJ12" s="321" t="str">
        <v>ㆬ</v>
      </c>
      <c r="CK12" s="322" t="str">
        <v>韻</v>
      </c>
      <c r="CL12" s="314" t="str">
        <v>m</v>
      </c>
      <c r="CM12" s="315" t="str">
        <v>M</v>
      </c>
      <c r="CN12" s="316" t="str">
        <v>-m</v>
      </c>
      <c r="CO12" s="323">
        <v>2</v>
      </c>
      <c r="CQ12" s="256" t="str">
        <f t="shared" si="5"/>
        <v/>
      </c>
      <c r="CR12" s="421" t="str">
        <v xml:space="preserve">    - xform/am/Y/  # ㆰ [am]</v>
      </c>
      <c r="CT12" s="321"/>
      <c r="CU12" s="322"/>
      <c r="CV12" s="314"/>
      <c r="CW12" s="315"/>
      <c r="CX12" s="316"/>
      <c r="CY12" s="323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27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10" t="str" cm="1">
        <f t="array" ref="BM13">INDEX($D$18:$BH$18, 1, $BO13)</f>
        <v>ㆣ</v>
      </c>
      <c r="BN13" s="410" t="str" cm="1">
        <f t="array" aca="1" ref="BN13" ca="1">INDIRECT(ADDRESS(17, COLUMN($D$18) + $BO13 - 1))</f>
        <v>E</v>
      </c>
      <c r="BO13" s="39">
        <f t="shared" si="0"/>
        <v>9</v>
      </c>
      <c r="BP13" s="321" t="str">
        <v>ㆣ</v>
      </c>
      <c r="BQ13" s="322" t="str">
        <f xml:space="preserve"> _xlfn.XLOOKUP(BP13, 按鍵設計表[注音符號], 按鍵設計表[聲韻調], "")</f>
        <v>聲</v>
      </c>
      <c r="BR13" s="314" t="str">
        <v>E</v>
      </c>
      <c r="BS13" s="315" t="str">
        <v>g</v>
      </c>
      <c r="BT13" s="316" t="str">
        <v>g</v>
      </c>
      <c r="BU13" s="323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21" t="str">
        <v>ㆣ</v>
      </c>
      <c r="CA13" s="322" t="str">
        <v>聲</v>
      </c>
      <c r="CB13" s="314" t="str">
        <v>E</v>
      </c>
      <c r="CC13" s="315" t="str">
        <v>g</v>
      </c>
      <c r="CD13" s="316" t="str">
        <v>g</v>
      </c>
      <c r="CE13" s="323">
        <v>1</v>
      </c>
      <c r="CG13" s="256" t="str">
        <f t="shared" si="3"/>
        <v/>
      </c>
      <c r="CI13" s="39">
        <f t="shared" si="4"/>
        <v>9</v>
      </c>
      <c r="CJ13" s="321" t="str">
        <v>ㄣ</v>
      </c>
      <c r="CK13" s="322" t="str">
        <v>韻</v>
      </c>
      <c r="CL13" s="314" t="str">
        <v>p</v>
      </c>
      <c r="CM13" s="315" t="str">
        <v>N</v>
      </c>
      <c r="CN13" s="316" t="str">
        <v>-n</v>
      </c>
      <c r="CO13" s="323">
        <v>2</v>
      </c>
      <c r="CQ13" s="256" t="str">
        <f t="shared" si="5"/>
        <v xml:space="preserve">    - xform/-n/N/  # ㄣ [-n]</v>
      </c>
      <c r="CR13" s="421" t="str">
        <v xml:space="preserve">    - xform/an/@/  # ㄢ [an]</v>
      </c>
      <c r="CT13" s="321"/>
      <c r="CU13" s="322"/>
      <c r="CV13" s="314"/>
      <c r="CW13" s="315"/>
      <c r="CX13" s="316"/>
      <c r="CY13" s="323"/>
      <c r="DA13" s="256" t="str">
        <f t="shared" si="6"/>
        <v/>
      </c>
    </row>
    <row r="14" spans="1:105" ht="45" customHeight="1">
      <c r="BJ14" s="14"/>
      <c r="BK14" s="14"/>
      <c r="BL14" s="14"/>
      <c r="BM14" s="410" t="str" cm="1">
        <f t="array" ref="BM14">INDEX($D$18:$BH$18, 1, $BO14)</f>
        <v>ㄍ</v>
      </c>
      <c r="BN14" s="410" t="str" cm="1">
        <f t="array" aca="1" ref="BN14" ca="1">INDIRECT(ADDRESS(17, COLUMN($D$18) + $BO14 - 1))</f>
        <v>e</v>
      </c>
      <c r="BO14" s="39">
        <f t="shared" si="0"/>
        <v>10</v>
      </c>
      <c r="BP14" s="321" t="str">
        <v>ㄍ</v>
      </c>
      <c r="BQ14" s="322" t="str">
        <f xml:space="preserve"> _xlfn.XLOOKUP(BP14, 按鍵設計表[注音符號], 按鍵設計表[聲韻調], "")</f>
        <v>聲</v>
      </c>
      <c r="BR14" s="314" t="str">
        <v>e</v>
      </c>
      <c r="BS14" s="315" t="str">
        <v>k</v>
      </c>
      <c r="BT14" s="316" t="str">
        <v>k</v>
      </c>
      <c r="BU14" s="323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21" t="str">
        <v>ㄍ</v>
      </c>
      <c r="CA14" s="322" t="str">
        <v>聲</v>
      </c>
      <c r="CB14" s="314" t="str">
        <v>e</v>
      </c>
      <c r="CC14" s="315" t="str">
        <v>k</v>
      </c>
      <c r="CD14" s="316" t="str">
        <v>k</v>
      </c>
      <c r="CE14" s="323">
        <v>1</v>
      </c>
      <c r="CG14" s="256" t="str">
        <f t="shared" si="3"/>
        <v/>
      </c>
      <c r="CI14" s="39">
        <f t="shared" si="4"/>
        <v>10</v>
      </c>
      <c r="CJ14" s="321" t="str">
        <v>ㆭ</v>
      </c>
      <c r="CK14" s="322" t="str">
        <v>韻</v>
      </c>
      <c r="CL14" s="314" t="str">
        <v>/</v>
      </c>
      <c r="CM14" s="315" t="str">
        <v>G</v>
      </c>
      <c r="CN14" s="316" t="str">
        <v>-ng</v>
      </c>
      <c r="CO14" s="323">
        <v>3</v>
      </c>
      <c r="CQ14" s="256" t="str">
        <f t="shared" si="5"/>
        <v xml:space="preserve">    - xform/-ng/G/  # ㆭ [-ng]</v>
      </c>
      <c r="CR14" s="421" t="str">
        <v xml:space="preserve">    - xform/ang/A/  # ㄤ [ang]</v>
      </c>
      <c r="CT14" s="321"/>
      <c r="CU14" s="322"/>
      <c r="CV14" s="314"/>
      <c r="CW14" s="315"/>
      <c r="CX14" s="316"/>
      <c r="CY14" s="323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10" t="str" cm="1">
        <f t="array" ref="BM15">INDEX($D$18:$BH$18, 1, $BO15)</f>
        <v>ㄎ</v>
      </c>
      <c r="BN15" s="410" t="str" cm="1">
        <f t="array" aca="1" ref="BN15" ca="1">INDIRECT(ADDRESS(17, COLUMN($D$18) + $BO15 - 1))</f>
        <v>d</v>
      </c>
      <c r="BO15" s="39">
        <f t="shared" si="0"/>
        <v>11</v>
      </c>
      <c r="BP15" s="321" t="str">
        <v>ㄎ</v>
      </c>
      <c r="BQ15" s="322" t="str">
        <f xml:space="preserve"> _xlfn.XLOOKUP(BP15, 按鍵設計表[注音符號], 按鍵設計表[聲韻調], "")</f>
        <v>聲</v>
      </c>
      <c r="BR15" s="314" t="str">
        <v>d</v>
      </c>
      <c r="BS15" s="315" t="str">
        <v>K</v>
      </c>
      <c r="BT15" s="316" t="str">
        <v>kh</v>
      </c>
      <c r="BU15" s="323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21" t="str">
        <v>ㄎ</v>
      </c>
      <c r="CA15" s="322" t="str">
        <v>聲</v>
      </c>
      <c r="CB15" s="314" t="str">
        <v>d</v>
      </c>
      <c r="CC15" s="315" t="str">
        <v>K</v>
      </c>
      <c r="CD15" s="316" t="str">
        <v>kh</v>
      </c>
      <c r="CE15" s="323">
        <v>2</v>
      </c>
      <c r="CG15" s="256" t="str">
        <f t="shared" si="3"/>
        <v xml:space="preserve">    - xform/^kh/K/    # ㄎ [ kh]</v>
      </c>
      <c r="CH15" s="421"/>
      <c r="CI15" s="39">
        <f t="shared" si="4"/>
        <v>11</v>
      </c>
      <c r="CJ15" s="321" t="str">
        <v>ㄞ</v>
      </c>
      <c r="CK15" s="322" t="str">
        <v>韻</v>
      </c>
      <c r="CL15" s="314" t="str">
        <v>9</v>
      </c>
      <c r="CM15" s="315" t="str">
        <v>I</v>
      </c>
      <c r="CN15" s="316" t="str">
        <v>ai</v>
      </c>
      <c r="CO15" s="323">
        <v>2</v>
      </c>
      <c r="CQ15" s="256" t="str">
        <f t="shared" si="5"/>
        <v xml:space="preserve">    - xform/ai/I/  # ㄞ [ai]</v>
      </c>
      <c r="CR15" s="421" t="str">
        <v xml:space="preserve">    - xform/om/W/  # ㆱ [om]</v>
      </c>
      <c r="CT15" s="321"/>
      <c r="CU15" s="322"/>
      <c r="CV15" s="314"/>
      <c r="CW15" s="315"/>
      <c r="CX15" s="316"/>
      <c r="CY15" s="323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10" t="str" cm="1">
        <f t="array" ref="BM16">INDEX($D$18:$BH$18, 1, $BO16)</f>
        <v>ㄫ</v>
      </c>
      <c r="BN16" s="410" t="str" cm="1">
        <f t="array" aca="1" ref="BN16" ca="1">INDIRECT(ADDRESS(17, COLUMN($D$18) + $BO16 - 1))</f>
        <v>G</v>
      </c>
      <c r="BO16" s="39">
        <f t="shared" si="0"/>
        <v>12</v>
      </c>
      <c r="BP16" s="321" t="str">
        <v>ㄫ</v>
      </c>
      <c r="BQ16" s="322" t="str">
        <f xml:space="preserve"> _xlfn.XLOOKUP(BP16, 按鍵設計表[注音符號], 按鍵設計表[聲韻調], "")</f>
        <v>聲</v>
      </c>
      <c r="BR16" s="314" t="str">
        <v>G</v>
      </c>
      <c r="BS16" s="315" t="str">
        <v>ŋ</v>
      </c>
      <c r="BT16" s="316" t="str">
        <v>ng</v>
      </c>
      <c r="BU16" s="323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21" t="str">
        <v>ㄫ</v>
      </c>
      <c r="CA16" s="322" t="str">
        <v>聲</v>
      </c>
      <c r="CB16" s="314" t="str">
        <v>G</v>
      </c>
      <c r="CC16" s="315" t="str">
        <v>ŋ</v>
      </c>
      <c r="CD16" s="316" t="str">
        <v>ng</v>
      </c>
      <c r="CE16" s="323">
        <v>2</v>
      </c>
      <c r="CG16" s="256" t="str">
        <f t="shared" si="3"/>
        <v xml:space="preserve">    - xform/^ng/ŋ/    # ㄫ [ ng]</v>
      </c>
      <c r="CH16" s="421"/>
      <c r="CI16" s="39">
        <f t="shared" si="4"/>
        <v>12</v>
      </c>
      <c r="CJ16" s="321" t="str">
        <v>ㄠ</v>
      </c>
      <c r="CK16" s="322" t="str">
        <v>韻</v>
      </c>
      <c r="CL16" s="314" t="str">
        <v>l</v>
      </c>
      <c r="CM16" s="315" t="str">
        <v>U</v>
      </c>
      <c r="CN16" s="316" t="str">
        <v>au</v>
      </c>
      <c r="CO16" s="323">
        <v>2</v>
      </c>
      <c r="CQ16" s="256" t="str">
        <f t="shared" si="5"/>
        <v xml:space="preserve">    - xform/au/U/  # ㄠ [au]</v>
      </c>
      <c r="CR16" s="421" t="str">
        <v xml:space="preserve">    - xform/ong/H/  # ㆲ [ong]</v>
      </c>
      <c r="CT16" s="321"/>
      <c r="CU16" s="322"/>
      <c r="CV16" s="314"/>
      <c r="CW16" s="315"/>
      <c r="CX16" s="316"/>
      <c r="CY16" s="323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17" t="str">
        <v>m</v>
      </c>
      <c r="AG17" s="417" t="str">
        <v>p</v>
      </c>
      <c r="AH17" s="420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17" t="str">
        <v>&lt;</v>
      </c>
      <c r="AX17" s="417" t="str">
        <v>I</v>
      </c>
      <c r="AY17" s="417" t="str">
        <v>(</v>
      </c>
      <c r="AZ17" s="417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69" t="str">
        <v>.</v>
      </c>
      <c r="BH17" s="469" t="str">
        <v>-</v>
      </c>
      <c r="BI17" s="469"/>
      <c r="BJ17" s="469"/>
      <c r="BK17" s="14"/>
      <c r="BL17" s="14"/>
      <c r="BM17" s="410" t="str" cm="1">
        <f t="array" ref="BM17">INDEX($D$18:$BH$18, 1, $BO17)</f>
        <v>ㆡ</v>
      </c>
      <c r="BN17" s="410" t="str" cm="1">
        <f t="array" aca="1" ref="BN17" ca="1">INDIRECT(ADDRESS(17, COLUMN($D$18) + $BO17 - 1))</f>
        <v>Y</v>
      </c>
      <c r="BO17" s="39">
        <f t="shared" si="0"/>
        <v>13</v>
      </c>
      <c r="BP17" s="321" t="str">
        <v>ㆡ</v>
      </c>
      <c r="BQ17" s="322" t="str">
        <f xml:space="preserve"> _xlfn.XLOOKUP(BP17, 按鍵設計表[注音符號], 按鍵設計表[聲韻調], "")</f>
        <v>聲</v>
      </c>
      <c r="BR17" s="314" t="str">
        <v>Y</v>
      </c>
      <c r="BS17" s="315" t="str">
        <v>j</v>
      </c>
      <c r="BT17" s="316" t="str">
        <v>j</v>
      </c>
      <c r="BU17" s="323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21" t="str">
        <v>ㆡ</v>
      </c>
      <c r="CA17" s="322" t="str">
        <v>聲</v>
      </c>
      <c r="CB17" s="314" t="str">
        <v>Y</v>
      </c>
      <c r="CC17" s="315" t="str">
        <v>j</v>
      </c>
      <c r="CD17" s="316" t="str">
        <v>j</v>
      </c>
      <c r="CE17" s="323">
        <v>1</v>
      </c>
      <c r="CG17" s="256" t="str">
        <f t="shared" si="3"/>
        <v/>
      </c>
      <c r="CH17" s="421"/>
      <c r="CI17" s="39">
        <f t="shared" si="4"/>
        <v>13</v>
      </c>
      <c r="CJ17" s="321" t="str">
        <v>ㆰ</v>
      </c>
      <c r="CK17" s="322" t="str">
        <v>韻</v>
      </c>
      <c r="CL17" s="314" t="str">
        <v>M</v>
      </c>
      <c r="CM17" s="315" t="str">
        <v>Y</v>
      </c>
      <c r="CN17" s="316" t="str">
        <v>am</v>
      </c>
      <c r="CO17" s="323">
        <v>2</v>
      </c>
      <c r="CQ17" s="256" t="str">
        <f t="shared" si="5"/>
        <v xml:space="preserve">    - xform/am/Y/  # ㆰ [am]</v>
      </c>
      <c r="CR17" s="421" t="str">
        <v xml:space="preserve">    - xform/ann/La/  # ㆩ [ann]</v>
      </c>
      <c r="CT17" s="321"/>
      <c r="CU17" s="322"/>
      <c r="CV17" s="314"/>
      <c r="CW17" s="315"/>
      <c r="CX17" s="316"/>
      <c r="CY17" s="323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70" t="str">
        <v>ㄚ</v>
      </c>
      <c r="Z18" s="470" t="str">
        <v>ㄧ</v>
      </c>
      <c r="AA18" s="470" t="str">
        <v>ㆨ</v>
      </c>
      <c r="AB18" s="470" t="str">
        <v>ㄨ</v>
      </c>
      <c r="AC18" s="470" t="str">
        <v>ㆤ</v>
      </c>
      <c r="AD18" s="470" t="str">
        <v>ㆦ</v>
      </c>
      <c r="AE18" s="470" t="str">
        <v>ㄜ</v>
      </c>
      <c r="AF18" s="470" t="str">
        <v>ㆬ</v>
      </c>
      <c r="AG18" s="470" t="str">
        <v>ㄣ</v>
      </c>
      <c r="AH18" s="470" t="str">
        <v>ㆭ</v>
      </c>
      <c r="AI18" s="470" t="str">
        <v>ㆴ</v>
      </c>
      <c r="AJ18" s="470" t="str">
        <v>ㆵ</v>
      </c>
      <c r="AK18" s="470" t="str">
        <v>ㆻ</v>
      </c>
      <c r="AL18" s="470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86" t="str">
        <v>ㆩ</v>
      </c>
      <c r="AU18" s="86" t="str">
        <v>ㆪ</v>
      </c>
      <c r="AV18" s="86" t="str">
        <v>ㆫ</v>
      </c>
      <c r="AW18" s="86" t="str">
        <v>ㆥ</v>
      </c>
      <c r="AX18" s="86" t="str">
        <v>ㆧ</v>
      </c>
      <c r="AY18" s="86" t="str">
        <v>ㆮ</v>
      </c>
      <c r="AZ18" s="86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10" t="str" cm="1">
        <f t="array" ref="BM18">INDEX($D$18:$BH$18, 1, $BO18)</f>
        <v>ㄗ</v>
      </c>
      <c r="BN18" s="410" t="str" cm="1">
        <f t="array" aca="1" ref="BN18" ca="1">INDIRECT(ADDRESS(17, COLUMN($D$18) + $BO18 - 1))</f>
        <v>y</v>
      </c>
      <c r="BO18" s="39">
        <f t="shared" si="0"/>
        <v>14</v>
      </c>
      <c r="BP18" s="321" t="str">
        <v>ㄗ</v>
      </c>
      <c r="BQ18" s="322" t="str">
        <f xml:space="preserve"> _xlfn.XLOOKUP(BP18, 按鍵設計表[注音符號], 按鍵設計表[聲韻調], "")</f>
        <v>聲</v>
      </c>
      <c r="BR18" s="314" t="str">
        <v>y</v>
      </c>
      <c r="BS18" s="315" t="str">
        <v>z</v>
      </c>
      <c r="BT18" s="316" t="str">
        <v>z</v>
      </c>
      <c r="BU18" s="323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21" t="str">
        <v>ㄗ</v>
      </c>
      <c r="CA18" s="322" t="str">
        <v>聲</v>
      </c>
      <c r="CB18" s="314" t="str">
        <v>y</v>
      </c>
      <c r="CC18" s="315" t="str">
        <v>z</v>
      </c>
      <c r="CD18" s="316" t="str">
        <v>z</v>
      </c>
      <c r="CE18" s="323">
        <v>1</v>
      </c>
      <c r="CG18" s="256" t="str">
        <f t="shared" si="3"/>
        <v/>
      </c>
      <c r="CH18" s="421"/>
      <c r="CI18" s="39">
        <f t="shared" si="4"/>
        <v>14</v>
      </c>
      <c r="CJ18" s="321" t="str">
        <v>ㄢ</v>
      </c>
      <c r="CK18" s="322" t="str">
        <v>韻</v>
      </c>
      <c r="CL18" s="314" t="str">
        <v>0</v>
      </c>
      <c r="CM18" s="315" t="str">
        <v>@</v>
      </c>
      <c r="CN18" s="316" t="str">
        <v>an</v>
      </c>
      <c r="CO18" s="323">
        <v>2</v>
      </c>
      <c r="CQ18" s="256" t="str">
        <f t="shared" si="5"/>
        <v xml:space="preserve">    - xform/an/@/  # ㄢ [an]</v>
      </c>
      <c r="CR18" s="421" t="str">
        <v xml:space="preserve">    - xform/inn/Li/  # ㆪ [inn]</v>
      </c>
      <c r="CT18" s="321"/>
      <c r="CU18" s="322"/>
      <c r="CV18" s="314"/>
      <c r="CW18" s="315"/>
      <c r="CX18" s="316"/>
      <c r="CY18" s="323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18" t="str">
        <v>M</v>
      </c>
      <c r="AG19" s="418" t="str">
        <v>N</v>
      </c>
      <c r="AH19" s="418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56" t="str">
        <v>La</v>
      </c>
      <c r="AU19" s="56" t="str">
        <v>Li</v>
      </c>
      <c r="AV19" s="56" t="str">
        <v>Lu</v>
      </c>
      <c r="AW19" s="418" t="str">
        <v>Le</v>
      </c>
      <c r="AX19" s="418" t="str">
        <v>Lo</v>
      </c>
      <c r="AY19" s="418" t="str">
        <v>LI</v>
      </c>
      <c r="AZ19" s="418" t="str">
        <v>LU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10" t="str" cm="1">
        <f t="array" ref="BM19">INDEX($D$18:$BH$18, 1, $BO19)</f>
        <v>ㄘ</v>
      </c>
      <c r="BN19" s="410" t="str" cm="1">
        <f t="array" aca="1" ref="BN19" ca="1">INDIRECT(ADDRESS(17, COLUMN($D$18) + $BO19 - 1))</f>
        <v>h</v>
      </c>
      <c r="BO19" s="39">
        <f t="shared" si="0"/>
        <v>15</v>
      </c>
      <c r="BP19" s="321" t="str">
        <v>ㄘ</v>
      </c>
      <c r="BQ19" s="322" t="str">
        <f xml:space="preserve"> _xlfn.XLOOKUP(BP19, 按鍵設計表[注音符號], 按鍵設計表[聲韻調], "")</f>
        <v>聲</v>
      </c>
      <c r="BR19" s="314" t="str">
        <v>h</v>
      </c>
      <c r="BS19" s="315" t="str">
        <v>c</v>
      </c>
      <c r="BT19" s="316" t="str">
        <v>c</v>
      </c>
      <c r="BU19" s="323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21" t="str">
        <v>ㄘ</v>
      </c>
      <c r="CA19" s="322" t="str">
        <v>聲</v>
      </c>
      <c r="CB19" s="314" t="str">
        <v>h</v>
      </c>
      <c r="CC19" s="315" t="str">
        <v>c</v>
      </c>
      <c r="CD19" s="316" t="str">
        <v>c</v>
      </c>
      <c r="CE19" s="323">
        <v>1</v>
      </c>
      <c r="CG19" s="256" t="str">
        <f t="shared" si="3"/>
        <v/>
      </c>
      <c r="CH19" s="421"/>
      <c r="CI19" s="39">
        <f t="shared" si="4"/>
        <v>15</v>
      </c>
      <c r="CJ19" s="321" t="str">
        <v>ㄤ</v>
      </c>
      <c r="CK19" s="322" t="str">
        <v>韻</v>
      </c>
      <c r="CL19" s="314" t="str">
        <v>;</v>
      </c>
      <c r="CM19" s="315" t="str">
        <v>A</v>
      </c>
      <c r="CN19" s="316" t="str">
        <v>ang</v>
      </c>
      <c r="CO19" s="323">
        <v>3</v>
      </c>
      <c r="CQ19" s="256" t="str">
        <f t="shared" si="5"/>
        <v xml:space="preserve">    - xform/ang/A/  # ㄤ [ang]</v>
      </c>
      <c r="CR19" s="421" t="str">
        <v xml:space="preserve">    - xform/unn/Lu/  # ㆫ [unn]</v>
      </c>
      <c r="CT19" s="321"/>
      <c r="CU19" s="322"/>
      <c r="CV19" s="314"/>
      <c r="CW19" s="315"/>
      <c r="CX19" s="316"/>
      <c r="CY19" s="323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9" t="str">
        <v>-m</v>
      </c>
      <c r="AG20" s="419" t="str">
        <v>-n</v>
      </c>
      <c r="AH20" s="419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59" t="str">
        <v>ann</v>
      </c>
      <c r="AU20" s="59" t="str">
        <v>inn</v>
      </c>
      <c r="AV20" s="59" t="str">
        <v>unn</v>
      </c>
      <c r="AW20" s="419" t="str">
        <v>enn</v>
      </c>
      <c r="AX20" s="419" t="str">
        <v>onn</v>
      </c>
      <c r="AY20" s="419" t="str">
        <v>ainn</v>
      </c>
      <c r="AZ20" s="419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10" t="str" cm="1">
        <f t="array" ref="BM20">INDEX($D$18:$BH$18, 1, $BO20)</f>
        <v>ㄙ</v>
      </c>
      <c r="BN20" s="410" t="str" cm="1">
        <f t="array" aca="1" ref="BN20" ca="1">INDIRECT(ADDRESS(17, COLUMN($D$18) + $BO20 - 1))</f>
        <v>n</v>
      </c>
      <c r="BO20" s="39">
        <f t="shared" si="0"/>
        <v>16</v>
      </c>
      <c r="BP20" s="321" t="str">
        <v>ㄙ</v>
      </c>
      <c r="BQ20" s="322" t="str">
        <f xml:space="preserve"> _xlfn.XLOOKUP(BP20, 按鍵設計表[注音符號], 按鍵設計表[聲韻調], "")</f>
        <v>聲</v>
      </c>
      <c r="BR20" s="314" t="str">
        <v>n</v>
      </c>
      <c r="BS20" s="315" t="str">
        <v>s</v>
      </c>
      <c r="BT20" s="316" t="str">
        <v>s</v>
      </c>
      <c r="BU20" s="323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21" t="str">
        <v>ㄙ</v>
      </c>
      <c r="CA20" s="322" t="str">
        <v>聲</v>
      </c>
      <c r="CB20" s="314" t="str">
        <v>n</v>
      </c>
      <c r="CC20" s="315" t="str">
        <v>s</v>
      </c>
      <c r="CD20" s="316" t="str">
        <v>s</v>
      </c>
      <c r="CE20" s="323">
        <v>1</v>
      </c>
      <c r="CG20" s="256" t="str">
        <f t="shared" si="3"/>
        <v/>
      </c>
      <c r="CI20" s="39">
        <f t="shared" si="4"/>
        <v>16</v>
      </c>
      <c r="CJ20" s="321" t="str">
        <v>ㆱ</v>
      </c>
      <c r="CK20" s="322" t="str">
        <v>韻</v>
      </c>
      <c r="CL20" s="314" t="str">
        <v>O</v>
      </c>
      <c r="CM20" s="315" t="str">
        <v>W</v>
      </c>
      <c r="CN20" s="316" t="str">
        <v>om</v>
      </c>
      <c r="CO20" s="323">
        <v>2</v>
      </c>
      <c r="CQ20" s="256" t="str">
        <f t="shared" si="5"/>
        <v xml:space="preserve">    - xform/om/W/  # ㆱ [om]</v>
      </c>
      <c r="CR20" s="421" t="str">
        <v xml:space="preserve">    - xform/enn/Le/  # ㆥ [enn]</v>
      </c>
      <c r="CT20" s="321"/>
      <c r="CU20" s="322"/>
      <c r="CV20" s="314"/>
      <c r="CW20" s="315"/>
      <c r="CX20" s="316"/>
      <c r="CY20" s="323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10" t="str" cm="1">
        <f t="array" ref="BM21">INDEX($D$18:$BH$18, 1, $BO21)</f>
        <v>ㄏ</v>
      </c>
      <c r="BN21" s="410" t="str" cm="1">
        <f t="array" aca="1" ref="BN21" ca="1">INDIRECT(ADDRESS(17, COLUMN($D$18) + $BO21 - 1))</f>
        <v>c</v>
      </c>
      <c r="BO21" s="39">
        <f t="shared" si="0"/>
        <v>17</v>
      </c>
      <c r="BP21" s="321" t="str">
        <v>ㄏ</v>
      </c>
      <c r="BQ21" s="322" t="str">
        <f xml:space="preserve"> _xlfn.XLOOKUP(BP21, 按鍵設計表[注音符號], 按鍵設計表[聲韻調], "")</f>
        <v>聲</v>
      </c>
      <c r="BR21" s="314" t="str">
        <v>c</v>
      </c>
      <c r="BS21" s="315" t="str">
        <v>h</v>
      </c>
      <c r="BT21" s="316" t="str">
        <v>h</v>
      </c>
      <c r="BU21" s="323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21" t="str">
        <v>ㄏ</v>
      </c>
      <c r="CA21" s="322" t="str">
        <v>聲</v>
      </c>
      <c r="CB21" s="314" t="str">
        <v>c</v>
      </c>
      <c r="CC21" s="315" t="str">
        <v>h</v>
      </c>
      <c r="CD21" s="316" t="str">
        <v>h</v>
      </c>
      <c r="CE21" s="323">
        <v>1</v>
      </c>
      <c r="CG21" s="256" t="str">
        <f t="shared" si="3"/>
        <v/>
      </c>
      <c r="CH21" s="421"/>
      <c r="CI21" s="39">
        <f t="shared" si="4"/>
        <v>17</v>
      </c>
      <c r="CJ21" s="321" t="str">
        <v>ㆲ</v>
      </c>
      <c r="CK21" s="322" t="str">
        <v>韻</v>
      </c>
      <c r="CL21" s="314" t="str">
        <v>o</v>
      </c>
      <c r="CM21" s="315" t="str">
        <v>H</v>
      </c>
      <c r="CN21" s="316" t="str">
        <v>ong</v>
      </c>
      <c r="CO21" s="323">
        <v>3</v>
      </c>
      <c r="CQ21" s="256" t="str">
        <f t="shared" si="5"/>
        <v xml:space="preserve">    - xform/ong/H/  # ㆲ [ong]</v>
      </c>
      <c r="CR21" s="421" t="str">
        <v xml:space="preserve">    - xform/onn/Lo/  # ㆧ [onn]</v>
      </c>
      <c r="CT21" s="321"/>
      <c r="CU21" s="322"/>
      <c r="CV21" s="314"/>
      <c r="CW21" s="315"/>
      <c r="CX21" s="316"/>
      <c r="CY21" s="323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10" t="str" cm="1">
        <f t="array" ref="BM22">INDEX($D$18:$BH$18, 1, $BO22)</f>
        <v>ㆢ</v>
      </c>
      <c r="BN22" s="410" t="str" cm="1">
        <f t="array" aca="1" ref="BN22" ca="1">INDIRECT(ADDRESS(17, COLUMN($D$18) + $BO22 - 1))</f>
        <v>R</v>
      </c>
      <c r="BO22" s="39">
        <f t="shared" si="0"/>
        <v>18</v>
      </c>
      <c r="BP22" s="321" t="str">
        <v>ㆢ</v>
      </c>
      <c r="BQ22" s="322" t="str">
        <f xml:space="preserve"> _xlfn.XLOOKUP(BP22, 按鍵設計表[注音符號], 按鍵設計表[聲韻調], "")</f>
        <v>聲</v>
      </c>
      <c r="BR22" s="314" t="str">
        <v>R</v>
      </c>
      <c r="BS22" s="315" t="str">
        <v>J</v>
      </c>
      <c r="BT22" s="316" t="str">
        <v>ji</v>
      </c>
      <c r="BU22" s="323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21" t="str">
        <v>ㆢ</v>
      </c>
      <c r="CA22" s="322" t="str">
        <v>聲</v>
      </c>
      <c r="CB22" s="314" t="str">
        <v>R</v>
      </c>
      <c r="CC22" s="315" t="str">
        <v>J</v>
      </c>
      <c r="CD22" s="316" t="str">
        <v>ji</v>
      </c>
      <c r="CE22" s="323">
        <v>2</v>
      </c>
      <c r="CG22" s="256" t="str">
        <f t="shared" si="3"/>
        <v xml:space="preserve">    - xform/^ji/J/    # ㆢ [ ji]</v>
      </c>
      <c r="CH22" s="421"/>
      <c r="CI22" s="39">
        <f t="shared" si="4"/>
        <v>18</v>
      </c>
      <c r="CJ22" s="321" t="str">
        <v>ㆩ</v>
      </c>
      <c r="CK22" s="322" t="str">
        <v>韻</v>
      </c>
      <c r="CL22" s="314" t="str">
        <v>*</v>
      </c>
      <c r="CM22" s="315" t="str">
        <v>La</v>
      </c>
      <c r="CN22" s="316" t="str">
        <v>ann</v>
      </c>
      <c r="CO22" s="323">
        <v>3</v>
      </c>
      <c r="CQ22" s="256" t="str">
        <f t="shared" si="5"/>
        <v xml:space="preserve">    - xform/ann/La/  # ㆩ [ann]</v>
      </c>
      <c r="CR22" s="421" t="str">
        <v xml:space="preserve">    - xform/ainn/LI/  # ㆮ [ainn]</v>
      </c>
      <c r="CT22" s="321"/>
      <c r="CU22" s="322"/>
      <c r="CV22" s="314"/>
      <c r="CW22" s="315"/>
      <c r="CX22" s="316"/>
      <c r="CY22" s="323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30"/>
      <c r="AN23" s="261"/>
      <c r="BJ23" s="264"/>
      <c r="BK23" s="264"/>
      <c r="BL23" s="264"/>
      <c r="BM23" s="410" t="str" cm="1">
        <f t="array" ref="BM23">INDEX($D$18:$BH$18, 1, $BO23)</f>
        <v>ㄐ</v>
      </c>
      <c r="BN23" s="410" t="str" cm="1">
        <f t="array" aca="1" ref="BN23" ca="1">INDIRECT(ADDRESS(17, COLUMN($D$18) + $BO23 - 1))</f>
        <v>r</v>
      </c>
      <c r="BO23" s="39">
        <f t="shared" si="0"/>
        <v>19</v>
      </c>
      <c r="BP23" s="321" t="str">
        <v>ㄐ</v>
      </c>
      <c r="BQ23" s="322" t="str">
        <f xml:space="preserve"> _xlfn.XLOOKUP(BP23, 按鍵設計表[注音符號], 按鍵設計表[聲韻調], "")</f>
        <v>聲</v>
      </c>
      <c r="BR23" s="314" t="str">
        <v>r</v>
      </c>
      <c r="BS23" s="315" t="str">
        <v>Z</v>
      </c>
      <c r="BT23" s="316" t="str">
        <v>zi</v>
      </c>
      <c r="BU23" s="323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21" t="str">
        <v>ㄐ</v>
      </c>
      <c r="CA23" s="322" t="str">
        <v>聲</v>
      </c>
      <c r="CB23" s="314" t="str">
        <v>r</v>
      </c>
      <c r="CC23" s="315" t="str">
        <v>Z</v>
      </c>
      <c r="CD23" s="316" t="str">
        <v>zi</v>
      </c>
      <c r="CE23" s="323">
        <v>2</v>
      </c>
      <c r="CG23" s="256" t="str">
        <f t="shared" si="3"/>
        <v xml:space="preserve">    - xform/^zi/Z/    # ㄐ [ zi]</v>
      </c>
      <c r="CH23" s="421"/>
      <c r="CI23" s="39">
        <f t="shared" si="4"/>
        <v>19</v>
      </c>
      <c r="CJ23" s="321" t="str">
        <v>ㆪ</v>
      </c>
      <c r="CK23" s="322" t="str">
        <v>韻</v>
      </c>
      <c r="CL23" s="314" t="str">
        <v>U</v>
      </c>
      <c r="CM23" s="315" t="str">
        <v>Li</v>
      </c>
      <c r="CN23" s="316" t="str">
        <v>inn</v>
      </c>
      <c r="CO23" s="323">
        <v>3</v>
      </c>
      <c r="CQ23" s="256" t="str">
        <f t="shared" si="5"/>
        <v xml:space="preserve">    - xform/inn/Li/  # ㆪ [inn]</v>
      </c>
      <c r="CR23" s="421"/>
      <c r="CT23" s="321"/>
      <c r="CU23" s="322"/>
      <c r="CV23" s="314"/>
      <c r="CW23" s="315"/>
      <c r="CX23" s="316"/>
      <c r="CY23" s="323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10" t="str" cm="1">
        <f t="array" ref="BM24">INDEX($D$18:$BH$18, 1, $BO24)</f>
        <v>ㄑ</v>
      </c>
      <c r="BN24" s="410" t="str" cm="1">
        <f t="array" aca="1" ref="BN24" ca="1">INDIRECT(ADDRESS(17, COLUMN($D$18) + $BO24 - 1))</f>
        <v>f</v>
      </c>
      <c r="BO24" s="39">
        <f t="shared" si="0"/>
        <v>20</v>
      </c>
      <c r="BP24" s="321" t="str">
        <v>ㄑ</v>
      </c>
      <c r="BQ24" s="322" t="str">
        <f xml:space="preserve"> _xlfn.XLOOKUP(BP24, 按鍵設計表[注音符號], 按鍵設計表[聲韻調], "")</f>
        <v>聲</v>
      </c>
      <c r="BR24" s="314" t="str">
        <v>f</v>
      </c>
      <c r="BS24" s="315" t="str">
        <v>C</v>
      </c>
      <c r="BT24" s="316" t="str">
        <v>ci</v>
      </c>
      <c r="BU24" s="323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21" t="str">
        <v>ㄑ</v>
      </c>
      <c r="CA24" s="322" t="str">
        <v>聲</v>
      </c>
      <c r="CB24" s="314" t="str">
        <v>f</v>
      </c>
      <c r="CC24" s="315" t="str">
        <v>C</v>
      </c>
      <c r="CD24" s="316" t="str">
        <v>ci</v>
      </c>
      <c r="CE24" s="323">
        <v>2</v>
      </c>
      <c r="CG24" s="256" t="str">
        <f t="shared" si="3"/>
        <v xml:space="preserve">    - xform/^ci/C/    # ㄑ [ ci]</v>
      </c>
      <c r="CH24" s="421"/>
      <c r="CI24" s="39">
        <f t="shared" si="4"/>
        <v>20</v>
      </c>
      <c r="CJ24" s="321" t="str">
        <v>ㆫ</v>
      </c>
      <c r="CK24" s="322" t="str">
        <v>韻</v>
      </c>
      <c r="CL24" s="314" t="str">
        <v>J</v>
      </c>
      <c r="CM24" s="315" t="str">
        <v>Lu</v>
      </c>
      <c r="CN24" s="316" t="str">
        <v>unn</v>
      </c>
      <c r="CO24" s="323">
        <v>3</v>
      </c>
      <c r="CQ24" s="256" t="str">
        <f t="shared" si="5"/>
        <v xml:space="preserve">    - xform/unn/Lu/  # ㆫ [unn]</v>
      </c>
      <c r="CR24" s="421"/>
      <c r="CT24" s="321"/>
      <c r="CU24" s="322"/>
      <c r="CV24" s="314"/>
      <c r="CW24" s="315"/>
      <c r="CX24" s="316"/>
      <c r="CY24" s="323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10" t="str" cm="1">
        <f t="array" ref="BM25">INDEX($D$18:$BH$18, 1, $BO25)</f>
        <v>ㄒ</v>
      </c>
      <c r="BN25" s="410" t="str" cm="1">
        <f t="array" aca="1" ref="BN25" ca="1">INDIRECT(ADDRESS(17, COLUMN($D$18) + $BO25 - 1))</f>
        <v>v</v>
      </c>
      <c r="BO25" s="39">
        <f t="shared" si="0"/>
        <v>21</v>
      </c>
      <c r="BP25" s="321" t="str">
        <v>ㄒ</v>
      </c>
      <c r="BQ25" s="322" t="str">
        <f xml:space="preserve"> _xlfn.XLOOKUP(BP25, 按鍵設計表[注音符號], 按鍵設計表[聲韻調], "")</f>
        <v>聲</v>
      </c>
      <c r="BR25" s="314" t="str">
        <v>v</v>
      </c>
      <c r="BS25" s="315" t="str">
        <v>S</v>
      </c>
      <c r="BT25" s="316" t="str">
        <v>si</v>
      </c>
      <c r="BU25" s="323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21" t="str">
        <v>ㄒ</v>
      </c>
      <c r="CA25" s="322" t="str">
        <v>聲</v>
      </c>
      <c r="CB25" s="314" t="str">
        <v>v</v>
      </c>
      <c r="CC25" s="315" t="str">
        <v>S</v>
      </c>
      <c r="CD25" s="316" t="str">
        <v>si</v>
      </c>
      <c r="CE25" s="323">
        <v>2</v>
      </c>
      <c r="CG25" s="256" t="str">
        <f t="shared" si="3"/>
        <v xml:space="preserve">    - xform/^si/S/    # ㄒ [ si]</v>
      </c>
      <c r="CH25" s="421"/>
      <c r="CI25" s="39">
        <f t="shared" si="4"/>
        <v>21</v>
      </c>
      <c r="CJ25" s="321" t="str">
        <v>ㆥ</v>
      </c>
      <c r="CK25" s="322" t="str">
        <v>韻</v>
      </c>
      <c r="CL25" s="314" t="str">
        <v>&lt;</v>
      </c>
      <c r="CM25" s="315" t="str">
        <v>Le</v>
      </c>
      <c r="CN25" s="316" t="str">
        <v>enn</v>
      </c>
      <c r="CO25" s="323">
        <v>3</v>
      </c>
      <c r="CQ25" s="256" t="str">
        <f t="shared" si="5"/>
        <v xml:space="preserve">    - xform/enn/Le/  # ㆥ [enn]</v>
      </c>
      <c r="CR25" s="421"/>
      <c r="CT25" s="321"/>
      <c r="CU25" s="322"/>
      <c r="CV25" s="314"/>
      <c r="CW25" s="315"/>
      <c r="CX25" s="316"/>
      <c r="CY25" s="323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10" t="str" cm="1">
        <f t="array" ref="BM26">INDEX($D$18:$BH$18, 1, $BO26)</f>
        <v>ㄚ</v>
      </c>
      <c r="BN26" s="410" t="str" cm="1">
        <f t="array" aca="1" ref="BN26" ca="1">INDIRECT(ADDRESS(17, COLUMN($D$18) + $BO26 - 1))</f>
        <v>8</v>
      </c>
      <c r="BO26" s="39">
        <f t="shared" si="0"/>
        <v>22</v>
      </c>
      <c r="BP26" s="321" t="str">
        <v>ㄚ</v>
      </c>
      <c r="BQ26" s="322" t="str">
        <f xml:space="preserve"> _xlfn.XLOOKUP(BP26, 按鍵設計表[注音符號], 按鍵設計表[聲韻調], "")</f>
        <v>韻</v>
      </c>
      <c r="BR26" s="314" t="str">
        <v>8</v>
      </c>
      <c r="BS26" s="315" t="str">
        <v>a</v>
      </c>
      <c r="BT26" s="316" t="str">
        <v>a</v>
      </c>
      <c r="BU26" s="323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21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Lo</v>
      </c>
      <c r="CN26" s="13" t="str">
        <v>onn</v>
      </c>
      <c r="CO26" s="13">
        <v>3</v>
      </c>
      <c r="CQ26" s="256" t="str">
        <f t="shared" si="5"/>
        <v xml:space="preserve">    - xform/onn/Lo/  # ㆧ [onn]</v>
      </c>
      <c r="CR26" s="421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31" t="str">
        <f xml:space="preserve"> "    - abbrev/^([" &amp; _xlfn.CONCAT(D19:X19) &amp; "]).+$/$1/"</f>
        <v xml:space="preserve">    - abbrev/^([bpPmntTlgkKŋjzcshJZCS]).+$/$1/</v>
      </c>
      <c r="C27" s="332"/>
      <c r="D27" s="332"/>
      <c r="E27" s="333"/>
      <c r="F27" s="333"/>
      <c r="G27" s="332"/>
      <c r="H27" s="332"/>
      <c r="I27" s="332"/>
      <c r="J27" s="334"/>
      <c r="K27" s="334"/>
      <c r="L27" s="334"/>
      <c r="M27" s="334"/>
      <c r="N27" s="334"/>
      <c r="O27" s="334"/>
      <c r="P27" s="335"/>
      <c r="Q27" s="335"/>
      <c r="R27" s="335"/>
      <c r="S27" s="335"/>
      <c r="T27" s="335"/>
      <c r="U27" s="335"/>
      <c r="V27" s="335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10" t="str" cm="1">
        <f t="array" ref="BM27">INDEX($D$18:$BH$18, 1, $BO27)</f>
        <v>ㄧ</v>
      </c>
      <c r="BN27" s="410" t="str" cm="1">
        <f t="array" aca="1" ref="BN27" ca="1">INDIRECT(ADDRESS(17, COLUMN($D$18) + $BO27 - 1))</f>
        <v>u</v>
      </c>
      <c r="BO27" s="39">
        <f t="shared" si="0"/>
        <v>23</v>
      </c>
      <c r="BP27" s="321" t="str">
        <v>ㄧ</v>
      </c>
      <c r="BQ27" s="322" t="str">
        <f xml:space="preserve"> _xlfn.XLOOKUP(BP27, 按鍵設計表[注音符號], 按鍵設計表[聲韻調], "")</f>
        <v>韻</v>
      </c>
      <c r="BR27" s="314" t="str">
        <v>u</v>
      </c>
      <c r="BS27" s="315" t="str">
        <v>i</v>
      </c>
      <c r="BT27" s="316" t="str">
        <v>i</v>
      </c>
      <c r="BU27" s="323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21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LI</v>
      </c>
      <c r="CN27" s="13" t="str">
        <v>ainn</v>
      </c>
      <c r="CO27" s="13">
        <v>4</v>
      </c>
      <c r="CQ27" s="256" t="str">
        <f t="shared" si="5"/>
        <v xml:space="preserve">    - xform/ainn/LI/  # ㆮ [ainn]</v>
      </c>
      <c r="CR27" s="421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10" t="str" cm="1">
        <f t="array" ref="BM28">INDEX($D$18:$BH$18, 1, $BO28)</f>
        <v>ㆨ</v>
      </c>
      <c r="BN28" s="410" t="str" cm="1">
        <f t="array" aca="1" ref="BN28" ca="1">INDIRECT(ADDRESS(17, COLUMN($D$18) + $BO28 - 1))</f>
        <v>K</v>
      </c>
      <c r="BO28" s="39">
        <f t="shared" si="0"/>
        <v>24</v>
      </c>
      <c r="BP28" s="321" t="str">
        <v>ㆨ</v>
      </c>
      <c r="BQ28" s="322" t="str">
        <f xml:space="preserve"> _xlfn.XLOOKUP(BP28, 按鍵設計表[注音符號], 按鍵設計表[聲韻調], "")</f>
        <v>韻</v>
      </c>
      <c r="BR28" s="314" t="str">
        <v>K</v>
      </c>
      <c r="BS28" s="315" t="str">
        <v>w</v>
      </c>
      <c r="BT28" s="316" t="str">
        <v>ir</v>
      </c>
      <c r="BU28" s="323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21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LU</v>
      </c>
      <c r="CN28" s="13" t="str">
        <v>aunn</v>
      </c>
      <c r="CO28" s="13">
        <v>4</v>
      </c>
      <c r="CQ28" s="256"/>
      <c r="CR28" s="421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10" t="str" cm="1">
        <f t="array" ref="BM29">INDEX($D$18:$BH$18, 1, $BO29)</f>
        <v>ㄨ</v>
      </c>
      <c r="BN29" s="410" t="str" cm="1">
        <f t="array" aca="1" ref="BN29" ca="1">INDIRECT(ADDRESS(17, COLUMN($D$18) + $BO29 - 1))</f>
        <v>j</v>
      </c>
      <c r="BO29" s="39">
        <f t="shared" si="0"/>
        <v>25</v>
      </c>
      <c r="BP29" s="321" t="str">
        <v>ㄨ</v>
      </c>
      <c r="BQ29" s="322" t="str">
        <f xml:space="preserve"> _xlfn.XLOOKUP(BP29, 按鍵設計表[注音符號], 按鍵設計表[聲韻調], "")</f>
        <v>韻</v>
      </c>
      <c r="BR29" s="314" t="str">
        <v>j</v>
      </c>
      <c r="BS29" s="315" t="str">
        <v>u</v>
      </c>
      <c r="BT29" s="316" t="str">
        <v>u</v>
      </c>
      <c r="BU29" s="323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21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21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10" t="str" cm="1">
        <f t="array" ref="BM30">INDEX($D$18:$BH$18, 1, $BO30)</f>
        <v>ㆤ</v>
      </c>
      <c r="BN30" s="410" t="str" cm="1">
        <f t="array" aca="1" ref="BN30" ca="1">INDIRECT(ADDRESS(17, COLUMN($D$18) + $BO30 - 1))</f>
        <v>,</v>
      </c>
      <c r="BO30" s="39">
        <f t="shared" si="0"/>
        <v>26</v>
      </c>
      <c r="BP30" s="321" t="str">
        <v>ㆤ</v>
      </c>
      <c r="BQ30" s="322" t="str">
        <f xml:space="preserve"> _xlfn.XLOOKUP(BP30, 按鍵設計表[注音符號], 按鍵設計表[聲韻調], "")</f>
        <v>韻</v>
      </c>
      <c r="BR30" s="314" t="str">
        <v>,</v>
      </c>
      <c r="BS30" s="315" t="str">
        <v>e</v>
      </c>
      <c r="BT30" s="316" t="str">
        <v>e</v>
      </c>
      <c r="BU30" s="323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21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21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50</v>
      </c>
      <c r="E31" s="291" t="str">
        <f xml:space="preserve"> _xlfn.CONCAT(D19:AS19, BA19:BH19)</f>
        <v>bpPmntTlgkKŋjzcshJZCSaiwueoəMNGRFQVIUY@AWH07325L&amp;*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23" t="str">
        <f>_xlfn.CONCAT(D19:AS19)</f>
        <v>bpPmntTlgkKŋjzcshJZCSaiwueoəMNGRFQVIUY@AWH</v>
      </c>
      <c r="AD31" s="423"/>
      <c r="AE31" s="423"/>
      <c r="AF31" s="423"/>
      <c r="AG31" s="423"/>
      <c r="AH31" s="423"/>
      <c r="AI31" s="423"/>
      <c r="AJ31" s="423"/>
      <c r="AK31" s="423"/>
      <c r="AL31" s="423"/>
      <c r="AM31" s="423"/>
      <c r="AN31" s="423"/>
      <c r="AO31" s="423"/>
      <c r="AP31" s="423"/>
      <c r="AQ31" s="423"/>
      <c r="AR31" s="423"/>
      <c r="AS31" s="423"/>
      <c r="AT31" s="423"/>
      <c r="AU31" s="423"/>
      <c r="AV31" s="423"/>
      <c r="AY31" s="17">
        <f xml:space="preserve"> LEN(AZ31)</f>
        <v>8</v>
      </c>
      <c r="AZ31" s="423" t="str">
        <f>_xlfn.CONCAT(BA19:BH19)</f>
        <v>07325L&amp;*</v>
      </c>
      <c r="BA31" s="423"/>
      <c r="BB31" s="423"/>
      <c r="BC31" s="423"/>
      <c r="BD31" s="423"/>
      <c r="BE31" s="423"/>
      <c r="BF31" s="423"/>
      <c r="BK31" s="60"/>
      <c r="BL31" s="60"/>
      <c r="BM31" s="410" t="str" cm="1">
        <f t="array" ref="BM31">INDEX($D$18:$BH$18, 1, $BO31)</f>
        <v>ㆦ</v>
      </c>
      <c r="BN31" s="410" t="str" cm="1">
        <f t="array" aca="1" ref="BN31" ca="1">INDIRECT(ADDRESS(17, COLUMN($D$18) + $BO31 - 1))</f>
        <v>i</v>
      </c>
      <c r="BO31" s="39">
        <f t="shared" si="0"/>
        <v>27</v>
      </c>
      <c r="BP31" s="321" t="str">
        <v>ㆦ</v>
      </c>
      <c r="BQ31" s="322" t="str">
        <f xml:space="preserve"> _xlfn.XLOOKUP(BP31, 按鍵設計表[注音符號], 按鍵設計表[聲韻調], "")</f>
        <v>韻</v>
      </c>
      <c r="BR31" s="314" t="str">
        <v>i</v>
      </c>
      <c r="BS31" s="315" t="str">
        <v>o</v>
      </c>
      <c r="BT31" s="316" t="str">
        <v>oo</v>
      </c>
      <c r="BU31" s="323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21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21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50</v>
      </c>
      <c r="E32" s="293" t="str">
        <f xml:space="preserve"> _xlfn.CONCAT(D17:AS17, BA17:BH17)</f>
        <v>!1qas2wxEedGYyhncRrfv8uKj,ikmp/btgz9lM0;Oo75346N.-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23" t="str">
        <f>_xlfn.CONCAT(D17:AS17)</f>
        <v>!1qas2wxEedGYyhncRrfv8uKj,ikmp/btgz9lM0;Oo</v>
      </c>
      <c r="AD32" s="423"/>
      <c r="AE32" s="423"/>
      <c r="AF32" s="423"/>
      <c r="AG32" s="423"/>
      <c r="AH32" s="423"/>
      <c r="AI32" s="423"/>
      <c r="AJ32" s="423"/>
      <c r="AK32" s="423"/>
      <c r="AL32" s="423"/>
      <c r="AM32" s="423"/>
      <c r="AN32" s="423"/>
      <c r="AO32" s="423"/>
      <c r="AP32" s="423"/>
      <c r="AQ32" s="423"/>
      <c r="AR32" s="423"/>
      <c r="AS32" s="423"/>
      <c r="AT32" s="423"/>
      <c r="AU32" s="423"/>
      <c r="AV32" s="423"/>
      <c r="AY32" s="17">
        <f xml:space="preserve"> LEN(AZ32)</f>
        <v>8</v>
      </c>
      <c r="AZ32" s="423" t="str">
        <f>_xlfn.CONCAT(BA17:BH17)</f>
        <v>75346N.-</v>
      </c>
      <c r="BA32" s="423"/>
      <c r="BB32" s="423"/>
      <c r="BC32" s="423"/>
      <c r="BD32" s="423"/>
      <c r="BE32" s="423"/>
      <c r="BF32" s="423"/>
      <c r="BK32" s="60"/>
      <c r="BL32" s="60"/>
      <c r="BM32" s="410" t="str" cm="1">
        <f t="array" ref="BM32">INDEX($D$18:$BH$18, 1, $BO32)</f>
        <v>ㄜ</v>
      </c>
      <c r="BN32" s="410" t="str" cm="1">
        <f t="array" aca="1" ref="BN32" ca="1">INDIRECT(ADDRESS(17, COLUMN($D$18) + $BO32 - 1))</f>
        <v>k</v>
      </c>
      <c r="BO32" s="39">
        <f t="shared" si="0"/>
        <v>28</v>
      </c>
      <c r="BP32" s="321" t="str">
        <v>ㄜ</v>
      </c>
      <c r="BQ32" s="322" t="str">
        <f xml:space="preserve"> _xlfn.XLOOKUP(BP32, 按鍵設計表[注音符號], 按鍵設計表[聲韻調], "")</f>
        <v>韻</v>
      </c>
      <c r="BR32" s="314" t="str">
        <v>k</v>
      </c>
      <c r="BS32" s="315" t="str">
        <v>ə</v>
      </c>
      <c r="BT32" s="316" t="str">
        <v>o</v>
      </c>
      <c r="BU32" s="323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21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21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xlit|bpPmntTlgkKŋjzcshJZCSaiwueoəMNGRFQVIUY@AWH07325L&amp;*|!1qas2wxEedGYyhncRrfv8uKj,ikmp/btgz9lM0;Oo75346N.-|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50" t="str">
        <f xml:space="preserve"> "    - xlit|" &amp; AC31 &amp; "|" &amp; AC32 &amp; "|"</f>
        <v xml:space="preserve">    - xlit|bpPmntTlgkKŋjzcshJZCSaiwueoəMNGRFQVIUY@AWH|!1qas2wxEedGYyhncRrfv8uKj,ikmp/btgz9lM0;Oo|</v>
      </c>
      <c r="AD33" s="451"/>
      <c r="AE33" s="451"/>
      <c r="AF33" s="451"/>
      <c r="AG33" s="451"/>
      <c r="AH33" s="451"/>
      <c r="AI33" s="451"/>
      <c r="AJ33" s="451"/>
      <c r="AK33" s="451"/>
      <c r="AL33" s="451"/>
      <c r="AM33" s="451"/>
      <c r="AN33" s="451"/>
      <c r="AO33" s="451"/>
      <c r="AP33" s="451"/>
      <c r="AQ33" s="451"/>
      <c r="AR33" s="451"/>
      <c r="AS33" s="451"/>
      <c r="AT33" s="451"/>
      <c r="AU33" s="451"/>
      <c r="AV33" s="451"/>
      <c r="AZ33" s="450" t="str">
        <f xml:space="preserve"> "    - xlit|" &amp; AZ31 &amp; "|" &amp; AZ32 &amp; "|"</f>
        <v xml:space="preserve">    - xlit|07325L&amp;*|75346N.-|</v>
      </c>
      <c r="BA33" s="451"/>
      <c r="BB33" s="451"/>
      <c r="BC33" s="451"/>
      <c r="BD33" s="451"/>
      <c r="BE33" s="451"/>
      <c r="BF33" s="451"/>
      <c r="BK33" s="60"/>
      <c r="BL33" s="60"/>
      <c r="BM33" s="410" t="str" cm="1">
        <f t="array" ref="BM33">INDEX($D$18:$BH$18, 1, $BO33)</f>
        <v>ㆬ</v>
      </c>
      <c r="BN33" s="410" t="str" cm="1">
        <f t="array" aca="1" ref="BN33" ca="1">INDIRECT(ADDRESS(17, COLUMN($D$18) + $BO33 - 1))</f>
        <v>m</v>
      </c>
      <c r="BO33" s="39">
        <f t="shared" si="0"/>
        <v>29</v>
      </c>
      <c r="BP33" s="321" t="str">
        <v>ㆬ</v>
      </c>
      <c r="BQ33" s="322" t="str">
        <f xml:space="preserve"> _xlfn.XLOOKUP(BP33, 按鍵設計表[注音符號], 按鍵設計表[聲韻調], "")</f>
        <v>韻</v>
      </c>
      <c r="BR33" s="314" t="str">
        <v>m</v>
      </c>
      <c r="BS33" s="315" t="str">
        <v>M</v>
      </c>
      <c r="BT33" s="316" t="str">
        <v>-m</v>
      </c>
      <c r="BU33" s="323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21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21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10" t="str" cm="1">
        <f t="array" ref="BM34">INDEX($D$18:$BH$18, 1, $BO34)</f>
        <v>ㄣ</v>
      </c>
      <c r="BN34" s="410" t="str" cm="1">
        <f t="array" aca="1" ref="BN34" ca="1">INDIRECT(ADDRESS(17, COLUMN($D$18) + $BO34 - 1))</f>
        <v>p</v>
      </c>
      <c r="BO34" s="39">
        <f t="shared" si="0"/>
        <v>30</v>
      </c>
      <c r="BP34" s="321" t="str">
        <v>ㄣ</v>
      </c>
      <c r="BQ34" s="322" t="str">
        <f xml:space="preserve"> _xlfn.XLOOKUP(BP34, 按鍵設計表[注音符號], 按鍵設計表[聲韻調], "")</f>
        <v>韻</v>
      </c>
      <c r="BR34" s="314" t="str">
        <v>p</v>
      </c>
      <c r="BS34" s="315" t="str">
        <v>N</v>
      </c>
      <c r="BT34" s="316" t="str">
        <v>-n</v>
      </c>
      <c r="BU34" s="323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21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21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10" t="str" cm="1">
        <f t="array" ref="BM35">INDEX($D$18:$BH$18, 1, $BO35)</f>
        <v>ㆭ</v>
      </c>
      <c r="BN35" s="410" t="str" cm="1">
        <f t="array" aca="1" ref="BN35" ca="1">INDIRECT(ADDRESS(17, COLUMN($D$18) + $BO35 - 1))</f>
        <v>/</v>
      </c>
      <c r="BO35" s="39">
        <f t="shared" si="0"/>
        <v>31</v>
      </c>
      <c r="BP35" s="321" t="str">
        <v>ㆭ</v>
      </c>
      <c r="BQ35" s="322" t="str">
        <f xml:space="preserve"> _xlfn.XLOOKUP(BP35, 按鍵設計表[注音符號], 按鍵設計表[聲韻調], "")</f>
        <v>韻</v>
      </c>
      <c r="BR35" s="314" t="str">
        <v>/</v>
      </c>
      <c r="BS35" s="315" t="str">
        <v>G</v>
      </c>
      <c r="BT35" s="316" t="str">
        <v>-ng</v>
      </c>
      <c r="BU35" s="323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21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21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0</v>
      </c>
      <c r="AS36" s="301" t="str">
        <f t="shared" si="10"/>
        <v>7</v>
      </c>
      <c r="AT36" s="301" t="str">
        <f t="shared" si="10"/>
        <v>3</v>
      </c>
      <c r="AU36" s="301" t="str">
        <f t="shared" si="10"/>
        <v>2</v>
      </c>
      <c r="AV36" s="301" t="str">
        <f t="shared" si="10"/>
        <v>5</v>
      </c>
      <c r="AW36" s="301" t="str">
        <f t="shared" si="10"/>
        <v>L</v>
      </c>
      <c r="AX36" s="301" t="str">
        <f t="shared" si="10"/>
        <v>&amp;</v>
      </c>
      <c r="AY36" s="301" t="str">
        <f t="shared" si="10"/>
        <v>*</v>
      </c>
      <c r="AZ36" s="301" t="str">
        <f t="shared" si="10"/>
        <v/>
      </c>
      <c r="BA36" s="301" t="str">
        <f t="shared" si="10"/>
        <v/>
      </c>
      <c r="BB36" s="301" t="str">
        <f t="shared" si="10"/>
        <v/>
      </c>
      <c r="BC36" s="301" t="str">
        <f t="shared" si="10"/>
        <v/>
      </c>
      <c r="BD36" s="301" t="str">
        <f t="shared" si="10"/>
        <v/>
      </c>
      <c r="BE36" s="301" t="str">
        <f t="shared" si="10"/>
        <v/>
      </c>
      <c r="BF36" s="301" t="str">
        <f t="shared" si="10"/>
        <v/>
      </c>
      <c r="BG36" s="63"/>
      <c r="BI36" s="60"/>
      <c r="BJ36" s="60"/>
      <c r="BK36" s="60"/>
      <c r="BL36" s="60"/>
      <c r="BM36" s="410" t="str" cm="1">
        <f t="array" ref="BM36">INDEX($D$18:$BH$18, 1, $BO36)</f>
        <v>ㆴ</v>
      </c>
      <c r="BN36" s="410" t="str" cm="1">
        <f t="array" aca="1" ref="BN36" ca="1">INDIRECT(ADDRESS(17, COLUMN($D$18) + $BO36 - 1))</f>
        <v>b</v>
      </c>
      <c r="BO36" s="39">
        <f t="shared" si="0"/>
        <v>32</v>
      </c>
      <c r="BP36" s="321" t="str">
        <v>ㆴ</v>
      </c>
      <c r="BQ36" s="322" t="str">
        <f xml:space="preserve"> _xlfn.XLOOKUP(BP36, 按鍵設計表[注音符號], 按鍵設計表[聲韻調], "")</f>
        <v>韻尾</v>
      </c>
      <c r="BR36" s="314" t="str">
        <v>b</v>
      </c>
      <c r="BS36" s="315" t="str">
        <v>R</v>
      </c>
      <c r="BT36" s="316" t="str">
        <v>-p</v>
      </c>
      <c r="BU36" s="323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21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21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7</v>
      </c>
      <c r="AS37" s="299" t="str">
        <f t="shared" si="12"/>
        <v>5</v>
      </c>
      <c r="AT37" s="299" t="str">
        <f t="shared" si="12"/>
        <v>3</v>
      </c>
      <c r="AU37" s="299" t="str">
        <f t="shared" si="12"/>
        <v>4</v>
      </c>
      <c r="AV37" s="299" t="str">
        <f t="shared" si="12"/>
        <v>6</v>
      </c>
      <c r="AW37" s="299" t="str">
        <f t="shared" si="12"/>
        <v>N</v>
      </c>
      <c r="AX37" s="299" t="str">
        <f t="shared" si="12"/>
        <v>.</v>
      </c>
      <c r="AY37" s="299" t="str">
        <f t="shared" si="12"/>
        <v>-</v>
      </c>
      <c r="AZ37" s="299" t="str">
        <f t="shared" si="12"/>
        <v/>
      </c>
      <c r="BA37" s="299" t="str">
        <f t="shared" si="12"/>
        <v/>
      </c>
      <c r="BB37" s="299" t="str">
        <f t="shared" si="12"/>
        <v/>
      </c>
      <c r="BC37" s="299" t="str">
        <f t="shared" si="12"/>
        <v/>
      </c>
      <c r="BD37" s="299" t="str">
        <f t="shared" si="12"/>
        <v/>
      </c>
      <c r="BE37" s="299" t="str">
        <f t="shared" si="12"/>
        <v/>
      </c>
      <c r="BF37" s="299" t="str">
        <f t="shared" si="12"/>
        <v/>
      </c>
      <c r="BG37" s="63"/>
      <c r="BH37" s="71"/>
      <c r="BI37" s="60"/>
      <c r="BJ37" s="60"/>
      <c r="BK37" s="60"/>
      <c r="BL37" s="60"/>
      <c r="BM37" s="410" t="str" cm="1">
        <f t="array" ref="BM37">INDEX($D$18:$BH$18, 1, $BO37)</f>
        <v>ㆵ</v>
      </c>
      <c r="BN37" s="410" t="str" cm="1">
        <f t="array" aca="1" ref="BN37" ca="1">INDIRECT(ADDRESS(17, COLUMN($D$18) + $BO37 - 1))</f>
        <v>t</v>
      </c>
      <c r="BO37" s="39">
        <f t="shared" si="0"/>
        <v>33</v>
      </c>
      <c r="BP37" s="321" t="str">
        <v>ㆵ</v>
      </c>
      <c r="BQ37" s="322" t="str">
        <f xml:space="preserve"> _xlfn.XLOOKUP(BP37, 按鍵設計表[注音符號], 按鍵設計表[聲韻調], "")</f>
        <v>韻尾</v>
      </c>
      <c r="BR37" s="314" t="str">
        <v>t</v>
      </c>
      <c r="BS37" s="315" t="str">
        <v>F</v>
      </c>
      <c r="BT37" s="316" t="str">
        <v>-t</v>
      </c>
      <c r="BU37" s="323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21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21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10" t="str" cm="1">
        <f t="array" ref="BM38">INDEX($D$18:$BH$18, 1, $BO38)</f>
        <v>ㆻ</v>
      </c>
      <c r="BN38" s="410" t="str" cm="1">
        <f t="array" aca="1" ref="BN38" ca="1">INDIRECT(ADDRESS(17, COLUMN($D$18) + $BO38 - 1))</f>
        <v>g</v>
      </c>
      <c r="BO38" s="39">
        <f t="shared" si="0"/>
        <v>34</v>
      </c>
      <c r="BP38" s="321" t="str">
        <v>ㆻ</v>
      </c>
      <c r="BQ38" s="322" t="str">
        <f xml:space="preserve"> _xlfn.XLOOKUP(BP38, 按鍵設計表[注音符號], 按鍵設計表[聲韻調], "")</f>
        <v>韻尾</v>
      </c>
      <c r="BR38" s="314" t="str">
        <v>g</v>
      </c>
      <c r="BS38" s="315" t="str">
        <v>Q</v>
      </c>
      <c r="BT38" s="316" t="str">
        <v>-k</v>
      </c>
      <c r="BU38" s="323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21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21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10" t="str" cm="1">
        <f t="array" ref="BM39">INDEX($D$18:$BH$18, 1, $BO39)</f>
        <v>ㆻ</v>
      </c>
      <c r="BN39" s="410" t="str" cm="1">
        <f t="array" aca="1" ref="BN39" ca="1">INDIRECT(ADDRESS(17, COLUMN($D$18) + $BO39 - 1))</f>
        <v>z</v>
      </c>
      <c r="BO39" s="39">
        <f t="shared" si="0"/>
        <v>35</v>
      </c>
      <c r="BP39" s="321" t="str">
        <v>ㆻ</v>
      </c>
      <c r="BQ39" s="322" t="str">
        <f xml:space="preserve"> _xlfn.XLOOKUP(BP39, 按鍵設計表[注音符號], 按鍵設計表[聲韻調], "")</f>
        <v>韻尾</v>
      </c>
      <c r="BR39" s="314" t="str">
        <v>z</v>
      </c>
      <c r="BS39" s="315" t="str">
        <v>V</v>
      </c>
      <c r="BT39" s="316" t="str">
        <v>-k</v>
      </c>
      <c r="BU39" s="323">
        <f t="shared" si="1"/>
        <v>2</v>
      </c>
      <c r="BV39" s="17"/>
      <c r="BW39" s="12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10" t="str" cm="1">
        <f t="array" ref="BM40">INDEX($D$18:$BH$18, 1, $BO40)</f>
        <v>ㄞ</v>
      </c>
      <c r="BN40" s="410" t="str" cm="1">
        <f t="array" aca="1" ref="BN40" ca="1">INDIRECT(ADDRESS(17, COLUMN($D$18) + $BO40 - 1))</f>
        <v>9</v>
      </c>
      <c r="BO40" s="39">
        <f t="shared" si="0"/>
        <v>36</v>
      </c>
      <c r="BP40" s="321" t="str">
        <v>ㄞ</v>
      </c>
      <c r="BQ40" s="322" t="str">
        <f xml:space="preserve"> _xlfn.XLOOKUP(BP40, 按鍵設計表[注音符號], 按鍵設計表[聲韻調], "")</f>
        <v>韻</v>
      </c>
      <c r="BR40" s="314" t="str">
        <v>9</v>
      </c>
      <c r="BS40" s="315" t="str">
        <v>I</v>
      </c>
      <c r="BT40" s="316" t="str">
        <v>ai</v>
      </c>
      <c r="BU40" s="323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49</v>
      </c>
      <c r="E41" s="79" t="str">
        <f>_xlfn.CONCAT(D17:AZ17)</f>
        <v>!1qas2wxEedGYyhncRrfv8uKj,ikmp/btgz9lM0;Oo*UJ&lt;I(L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52" t="str">
        <f>_xlfn.CONCAT(BA17:BE17)</f>
        <v>75346</v>
      </c>
      <c r="AO41" s="452"/>
      <c r="AP41" s="452"/>
      <c r="AQ41" s="452"/>
      <c r="AR41" s="452"/>
      <c r="AS41" s="452"/>
      <c r="AT41" s="452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10" t="str" cm="1">
        <f t="array" ref="BM41">INDEX($D$18:$BH$18, 1, $BO41)</f>
        <v>ㄠ</v>
      </c>
      <c r="BN41" s="410" t="str" cm="1">
        <f t="array" aca="1" ref="BN41" ca="1">INDIRECT(ADDRESS(17, COLUMN($D$18) + $BO41 - 1))</f>
        <v>l</v>
      </c>
      <c r="BO41" s="39">
        <f t="shared" si="0"/>
        <v>37</v>
      </c>
      <c r="BP41" s="321" t="str">
        <v>ㄠ</v>
      </c>
      <c r="BQ41" s="322" t="str">
        <f xml:space="preserve"> _xlfn.XLOOKUP(BP41, 按鍵設計表[注音符號], 按鍵設計表[聲韻調], "")</f>
        <v>韻</v>
      </c>
      <c r="BR41" s="314" t="str">
        <v>l</v>
      </c>
      <c r="BS41" s="315" t="str">
        <v>U</v>
      </c>
      <c r="BT41" s="316" t="str">
        <v>au</v>
      </c>
      <c r="BU41" s="323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49</v>
      </c>
      <c r="E42" s="80" t="str">
        <f xml:space="preserve"> _xlfn.CONCAT(D18:AZ18)</f>
        <v>ㆠㄅㄆㄇㄋㄉㄊㄌㆣㄍㄎㄫㆡㄗㄘㄙㄏㆢㄐㄑㄒㄚㄧㆨㄨㆤㆦㄜㆬㄣㆭㆴㆵㆻㆻㄞㄠㆰㄢㄤㆱㆲㆩㆪㆫㆥㆧㆮㆯ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52" t="str">
        <f>_xlfn.CONCAT(BA18:BE18)</f>
        <v>˙˫˪ˋˊ</v>
      </c>
      <c r="AO42" s="452"/>
      <c r="AP42" s="452"/>
      <c r="AQ42" s="452"/>
      <c r="AR42" s="452"/>
      <c r="AS42" s="452"/>
      <c r="AT42" s="452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10" t="str" cm="1">
        <f t="array" ref="BM42">INDEX($D$18:$BH$18, 1, $BO42)</f>
        <v>ㆰ</v>
      </c>
      <c r="BN42" s="410" t="str" cm="1">
        <f t="array" aca="1" ref="BN42" ca="1">INDIRECT(ADDRESS(17, COLUMN($D$18) + $BO42 - 1))</f>
        <v>M</v>
      </c>
      <c r="BO42" s="39">
        <f t="shared" si="0"/>
        <v>38</v>
      </c>
      <c r="BP42" s="321" t="str">
        <v>ㆰ</v>
      </c>
      <c r="BQ42" s="322" t="str">
        <f xml:space="preserve"> _xlfn.XLOOKUP(BP42, 按鍵設計表[注音符號], 按鍵設計表[聲韻調], "")</f>
        <v>韻</v>
      </c>
      <c r="BR42" s="314" t="str">
        <v>M</v>
      </c>
      <c r="BS42" s="315" t="str">
        <v>Y</v>
      </c>
      <c r="BT42" s="316" t="str">
        <v>am</v>
      </c>
      <c r="BU42" s="323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xlit|!1qas2wxEedGYyhncRrfv8uKj,ikmp/btgz9lM0;Oo*UJ&lt;I(L|ㆠㄅㄆㄇㄋㄉㄊㄌㆣㄍㄎㄫㆡㄗㄘㄙㄏㆢㄐㄑㄒㄚㄧㆨㄨㆤㆦㄜㆬㄣㆭㆴㆵㆻㆻㄞㄠㆰㄢㄤㆱㆲㆩㆪㆫㆥㆧㆮㆯ|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53" t="str">
        <f xml:space="preserve"> "    - xlit|" &amp; AN41 &amp; "|" &amp; AN42 &amp; "|"</f>
        <v xml:space="preserve">    - xlit|75346|˙˫˪ˋˊ|</v>
      </c>
      <c r="AO43" s="451"/>
      <c r="AP43" s="451"/>
      <c r="AQ43" s="451"/>
      <c r="AR43" s="451"/>
      <c r="AS43" s="451"/>
      <c r="AT43" s="451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10" t="str" cm="1">
        <f t="array" ref="BM43">INDEX($D$18:$BH$18, 1, $BO43)</f>
        <v>ㄢ</v>
      </c>
      <c r="BN43" s="410" t="str" cm="1">
        <f t="array" aca="1" ref="BN43" ca="1">INDIRECT(ADDRESS(17, COLUMN($D$18) + $BO43 - 1))</f>
        <v>0</v>
      </c>
      <c r="BO43" s="39">
        <f t="shared" si="0"/>
        <v>39</v>
      </c>
      <c r="BP43" s="321" t="str">
        <v>ㄢ</v>
      </c>
      <c r="BQ43" s="322" t="str">
        <f xml:space="preserve"> _xlfn.XLOOKUP(BP43, 按鍵設計表[注音符號], 按鍵設計表[聲韻調], "")</f>
        <v>韻</v>
      </c>
      <c r="BR43" s="314" t="str">
        <v>0</v>
      </c>
      <c r="BS43" s="315" t="str">
        <v>@</v>
      </c>
      <c r="BT43" s="316" t="str">
        <v>an</v>
      </c>
      <c r="BU43" s="323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10" t="str" cm="1">
        <f t="array" ref="BM44">INDEX($D$18:$BH$18, 1, $BO44)</f>
        <v>ㄤ</v>
      </c>
      <c r="BN44" s="410" t="str" cm="1">
        <f t="array" aca="1" ref="BN44" ca="1">INDIRECT(ADDRESS(17, COLUMN($D$18) + $BO44 - 1))</f>
        <v>;</v>
      </c>
      <c r="BO44" s="39">
        <f t="shared" si="0"/>
        <v>40</v>
      </c>
      <c r="BP44" s="321" t="str">
        <v>ㄤ</v>
      </c>
      <c r="BQ44" s="322" t="str">
        <f xml:space="preserve"> _xlfn.XLOOKUP(BP44, 按鍵設計表[注音符號], 按鍵設計表[聲韻調], "")</f>
        <v>韻</v>
      </c>
      <c r="BR44" s="314" t="str">
        <v>;</v>
      </c>
      <c r="BS44" s="315" t="str">
        <v>A</v>
      </c>
      <c r="BT44" s="316" t="str">
        <v>ang</v>
      </c>
      <c r="BU44" s="323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10" t="str" cm="1">
        <f t="array" ref="BM45">INDEX($D$18:$BH$18, 1, $BO45)</f>
        <v>ㆱ</v>
      </c>
      <c r="BN45" s="410" t="str" cm="1">
        <f t="array" aca="1" ref="BN45" ca="1">INDIRECT(ADDRESS(17, COLUMN($D$18) + $BO45 - 1))</f>
        <v>O</v>
      </c>
      <c r="BO45" s="39">
        <f t="shared" si="0"/>
        <v>41</v>
      </c>
      <c r="BP45" s="321" t="str">
        <v>ㆱ</v>
      </c>
      <c r="BQ45" s="322" t="str">
        <f xml:space="preserve"> _xlfn.XLOOKUP(BP45, 按鍵設計表[注音符號], 按鍵設計表[聲韻調], "")</f>
        <v>韻</v>
      </c>
      <c r="BR45" s="314" t="str">
        <v>O</v>
      </c>
      <c r="BS45" s="315" t="str">
        <v>W</v>
      </c>
      <c r="BT45" s="316" t="str">
        <v>om</v>
      </c>
      <c r="BU45" s="323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xml:space="preserve"> MID($E$41,AN$45,1)</f>
        <v>0</v>
      </c>
      <c r="AO46" s="299" t="str">
        <f xml:space="preserve"> MID($E$41,AO$45,1)</f>
        <v>;</v>
      </c>
      <c r="AP46" s="299" t="str">
        <f xml:space="preserve"> MID($E$41,AP$45,1)</f>
        <v>O</v>
      </c>
      <c r="AQ46" s="299" t="str">
        <f xml:space="preserve"> MID($E$41,AQ$45,1)</f>
        <v>o</v>
      </c>
      <c r="AR46" s="299" t="str">
        <f xml:space="preserve"> MID($E$41,AR$45,1)</f>
        <v>*</v>
      </c>
      <c r="AS46" s="299" t="str">
        <f xml:space="preserve"> MID($E$41,AS$45,1)</f>
        <v>U</v>
      </c>
      <c r="AT46" s="299" t="str">
        <f xml:space="preserve"> MID($E$41,AT$45,1)</f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/>
      </c>
      <c r="AZ46" s="299" t="str">
        <f t="shared" si="14"/>
        <v/>
      </c>
      <c r="BA46" s="299" t="str">
        <f t="shared" si="14"/>
        <v/>
      </c>
      <c r="BB46" s="299" t="str">
        <f t="shared" si="14"/>
        <v/>
      </c>
      <c r="BC46" s="299" t="str">
        <f t="shared" si="14"/>
        <v/>
      </c>
      <c r="BD46" s="299" t="str">
        <f t="shared" si="14"/>
        <v/>
      </c>
      <c r="BE46" s="299" t="str">
        <f t="shared" si="14"/>
        <v/>
      </c>
      <c r="BF46" s="299" t="str">
        <f t="shared" si="14"/>
        <v/>
      </c>
      <c r="BG46" s="63"/>
      <c r="BJ46" s="83"/>
      <c r="BK46" s="83"/>
      <c r="BL46" s="83"/>
      <c r="BM46" s="410" t="str" cm="1">
        <f t="array" ref="BM46">INDEX($D$18:$BH$18, 1, $BO46)</f>
        <v>ㆲ</v>
      </c>
      <c r="BN46" s="410" t="str" cm="1">
        <f t="array" aca="1" ref="BN46" ca="1">INDIRECT(ADDRESS(17, COLUMN($D$18) + $BO46 - 1))</f>
        <v>o</v>
      </c>
      <c r="BO46" s="39">
        <f t="shared" si="0"/>
        <v>42</v>
      </c>
      <c r="BP46" s="321" t="str">
        <v>ㆲ</v>
      </c>
      <c r="BQ46" s="322" t="str">
        <f xml:space="preserve"> _xlfn.XLOOKUP(BP46, 按鍵設計表[注音符號], 按鍵設計表[聲韻調], "")</f>
        <v>韻</v>
      </c>
      <c r="BR46" s="314" t="str">
        <v>o</v>
      </c>
      <c r="BS46" s="315" t="str">
        <v>H</v>
      </c>
      <c r="BT46" s="316" t="str">
        <v>ong</v>
      </c>
      <c r="BU46" s="323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5" xml:space="preserve"> MID($E$42,B$45,1)</f>
        <v>ㆠ</v>
      </c>
      <c r="C47" s="300" t="str">
        <f t="shared" si="15"/>
        <v>ㄅ</v>
      </c>
      <c r="D47" s="300" t="str">
        <f t="shared" si="15"/>
        <v>ㄆ</v>
      </c>
      <c r="E47" s="300" t="str">
        <f t="shared" si="15"/>
        <v>ㄇ</v>
      </c>
      <c r="F47" s="300" t="str">
        <f t="shared" si="15"/>
        <v>ㄋ</v>
      </c>
      <c r="G47" s="300" t="str">
        <f t="shared" si="15"/>
        <v>ㄉ</v>
      </c>
      <c r="H47" s="300" t="str">
        <f t="shared" si="15"/>
        <v>ㄊ</v>
      </c>
      <c r="I47" s="300" t="str">
        <f t="shared" si="15"/>
        <v>ㄌ</v>
      </c>
      <c r="J47" s="300" t="str">
        <f t="shared" si="15"/>
        <v>ㆣ</v>
      </c>
      <c r="K47" s="300" t="str">
        <f t="shared" si="15"/>
        <v>ㄍ</v>
      </c>
      <c r="L47" s="300" t="str">
        <f t="shared" si="15"/>
        <v>ㄎ</v>
      </c>
      <c r="M47" s="300" t="str">
        <f t="shared" si="15"/>
        <v>ㄫ</v>
      </c>
      <c r="N47" s="300" t="str">
        <f t="shared" si="15"/>
        <v>ㆡ</v>
      </c>
      <c r="O47" s="300" t="str">
        <f t="shared" si="15"/>
        <v>ㄗ</v>
      </c>
      <c r="P47" s="300" t="str">
        <f t="shared" si="15"/>
        <v>ㄘ</v>
      </c>
      <c r="Q47" s="300" t="str">
        <f t="shared" si="15"/>
        <v>ㄙ</v>
      </c>
      <c r="R47" s="300" t="str">
        <f t="shared" si="15"/>
        <v>ㄏ</v>
      </c>
      <c r="S47" s="300" t="str">
        <f t="shared" si="15"/>
        <v>ㆢ</v>
      </c>
      <c r="T47" s="300" t="str">
        <f t="shared" si="15"/>
        <v>ㄐ</v>
      </c>
      <c r="U47" s="300" t="str">
        <f t="shared" si="15"/>
        <v>ㄑ</v>
      </c>
      <c r="V47" s="300" t="str">
        <f t="shared" si="15"/>
        <v>ㄒ</v>
      </c>
      <c r="W47" s="300" t="str">
        <f t="shared" si="15"/>
        <v>ㄚ</v>
      </c>
      <c r="X47" s="300" t="str">
        <f t="shared" si="15"/>
        <v>ㄧ</v>
      </c>
      <c r="Y47" s="300" t="str">
        <f t="shared" si="15"/>
        <v>ㆨ</v>
      </c>
      <c r="Z47" s="300" t="str">
        <f t="shared" si="15"/>
        <v>ㄨ</v>
      </c>
      <c r="AA47" s="300" t="str">
        <f t="shared" si="15"/>
        <v>ㆤ</v>
      </c>
      <c r="AB47" s="300" t="str">
        <f t="shared" si="15"/>
        <v>ㆦ</v>
      </c>
      <c r="AC47" s="300" t="str">
        <f t="shared" si="15"/>
        <v>ㄜ</v>
      </c>
      <c r="AD47" s="300" t="str">
        <f t="shared" si="15"/>
        <v>ㆬ</v>
      </c>
      <c r="AE47" s="300" t="str">
        <f t="shared" si="15"/>
        <v>ㄣ</v>
      </c>
      <c r="AF47" s="300" t="str">
        <f t="shared" si="15"/>
        <v>ㆭ</v>
      </c>
      <c r="AG47" s="300" t="str">
        <f t="shared" si="15"/>
        <v>ㆴ</v>
      </c>
      <c r="AH47" s="300" t="str">
        <f t="shared" ref="AH47:BF47" si="16" xml:space="preserve"> MID($E$42,AH$45,1)</f>
        <v>ㆵ</v>
      </c>
      <c r="AI47" s="300" t="str">
        <f t="shared" si="16"/>
        <v>ㆻ</v>
      </c>
      <c r="AJ47" s="300" t="str">
        <f t="shared" si="16"/>
        <v>ㆻ</v>
      </c>
      <c r="AK47" s="300" t="str">
        <f t="shared" si="16"/>
        <v>ㄞ</v>
      </c>
      <c r="AL47" s="300" t="str">
        <f t="shared" si="16"/>
        <v>ㄠ</v>
      </c>
      <c r="AM47" s="300" t="str">
        <f t="shared" si="16"/>
        <v>ㆰ</v>
      </c>
      <c r="AN47" s="300" t="str">
        <f xml:space="preserve"> MID($E$42,AN$45,1)</f>
        <v>ㄢ</v>
      </c>
      <c r="AO47" s="300" t="str">
        <f xml:space="preserve"> MID($E$42,AO$45,1)</f>
        <v>ㄤ</v>
      </c>
      <c r="AP47" s="300" t="str">
        <f xml:space="preserve"> MID($E$42,AP$45,1)</f>
        <v>ㆱ</v>
      </c>
      <c r="AQ47" s="300" t="str">
        <f xml:space="preserve"> MID($E$42,AQ$45,1)</f>
        <v>ㆲ</v>
      </c>
      <c r="AR47" s="300" t="str">
        <f xml:space="preserve"> MID($E$42,AR$45,1)</f>
        <v>ㆩ</v>
      </c>
      <c r="AS47" s="300" t="str">
        <f xml:space="preserve"> MID($E$42,AS$45,1)</f>
        <v>ㆪ</v>
      </c>
      <c r="AT47" s="300" t="str">
        <f xml:space="preserve"> MID($E$42,AT$45,1)</f>
        <v>ㆫ</v>
      </c>
      <c r="AU47" s="300" t="str">
        <f t="shared" si="16"/>
        <v>ㆥ</v>
      </c>
      <c r="AV47" s="300" t="str">
        <f t="shared" si="16"/>
        <v>ㆧ</v>
      </c>
      <c r="AW47" s="300" t="str">
        <f t="shared" si="16"/>
        <v>ㆮ</v>
      </c>
      <c r="AX47" s="300" t="str">
        <f t="shared" si="16"/>
        <v>ㆯ</v>
      </c>
      <c r="AY47" s="300" t="str">
        <f t="shared" si="16"/>
        <v/>
      </c>
      <c r="AZ47" s="300" t="str">
        <f t="shared" si="16"/>
        <v/>
      </c>
      <c r="BA47" s="300" t="str">
        <f t="shared" si="16"/>
        <v/>
      </c>
      <c r="BB47" s="300" t="str">
        <f t="shared" si="16"/>
        <v/>
      </c>
      <c r="BC47" s="300" t="str">
        <f t="shared" si="16"/>
        <v/>
      </c>
      <c r="BD47" s="300" t="str">
        <f t="shared" si="16"/>
        <v/>
      </c>
      <c r="BE47" s="300" t="str">
        <f t="shared" si="16"/>
        <v/>
      </c>
      <c r="BF47" s="300" t="str">
        <f t="shared" si="16"/>
        <v/>
      </c>
      <c r="BG47" s="63"/>
      <c r="BJ47" s="83"/>
      <c r="BK47" s="83"/>
      <c r="BL47" s="83"/>
      <c r="BM47" s="410" t="str" cm="1">
        <f t="array" ref="BM47">INDEX($D$18:$BH$18, 1, $BO47)</f>
        <v>ㆩ</v>
      </c>
      <c r="BN47" s="410" t="str" cm="1">
        <f t="array" aca="1" ref="BN47" ca="1">INDIRECT(ADDRESS(17, COLUMN($D$18) + $BO47 - 1))</f>
        <v>*</v>
      </c>
      <c r="BO47" s="39">
        <f t="shared" si="0"/>
        <v>43</v>
      </c>
      <c r="BP47" s="321" t="str">
        <v>ㆩ</v>
      </c>
      <c r="BQ47" s="322" t="str">
        <f xml:space="preserve"> _xlfn.XLOOKUP(BP47, 按鍵設計表[注音符號], 按鍵設計表[聲韻調], "")</f>
        <v>韻</v>
      </c>
      <c r="BR47" s="314" t="str">
        <v>*</v>
      </c>
      <c r="BS47" s="315" t="str">
        <v>La</v>
      </c>
      <c r="BT47" s="316" t="str">
        <v>ann</v>
      </c>
      <c r="BU47" s="323">
        <f t="shared" si="1"/>
        <v>3</v>
      </c>
      <c r="BW47" s="126" t="str">
        <f t="shared" si="8"/>
        <v xml:space="preserve">    "*": { commit: "ㆩ" }  # /ann/ ==&gt; La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10" t="str" cm="1">
        <f t="array" ref="BM48">INDEX($D$18:$BH$18, 1, $BO48)</f>
        <v>ㆪ</v>
      </c>
      <c r="BN48" s="410" t="str" cm="1">
        <f t="array" aca="1" ref="BN48" ca="1">INDIRECT(ADDRESS(17, COLUMN($D$18) + $BO48 - 1))</f>
        <v>U</v>
      </c>
      <c r="BO48" s="39">
        <f t="shared" si="0"/>
        <v>44</v>
      </c>
      <c r="BP48" s="321" t="str">
        <v>ㆪ</v>
      </c>
      <c r="BQ48" s="322" t="str">
        <f xml:space="preserve"> _xlfn.XLOOKUP(BP48, 按鍵設計表[注音符號], 按鍵設計表[聲韻調], "")</f>
        <v>韻</v>
      </c>
      <c r="BR48" s="314" t="str">
        <v>U</v>
      </c>
      <c r="BS48" s="315" t="str">
        <v>Li</v>
      </c>
      <c r="BT48" s="316" t="str">
        <v>inn</v>
      </c>
      <c r="BU48" s="323">
        <f t="shared" si="1"/>
        <v>3</v>
      </c>
      <c r="BW48" s="126" t="str">
        <f t="shared" si="8"/>
        <v xml:space="preserve">    "U": { commit: "ㆪ" }  # /inn/ ==&gt; Li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10" t="str" cm="1">
        <f t="array" ref="BM49">INDEX($D$18:$BH$18, 1, $BO49)</f>
        <v>ㆫ</v>
      </c>
      <c r="BN49" s="410" t="str" cm="1">
        <f t="array" aca="1" ref="BN49" ca="1">INDIRECT(ADDRESS(17, COLUMN($D$18) + $BO49 - 1))</f>
        <v>J</v>
      </c>
      <c r="BO49" s="39">
        <f t="shared" si="0"/>
        <v>45</v>
      </c>
      <c r="BP49" s="321" t="str">
        <v>ㆫ</v>
      </c>
      <c r="BQ49" s="322" t="str">
        <f xml:space="preserve"> _xlfn.XLOOKUP(BP49, 按鍵設計表[注音符號], 按鍵設計表[聲韻調], "")</f>
        <v>韻</v>
      </c>
      <c r="BR49" s="314" t="str">
        <v>J</v>
      </c>
      <c r="BS49" s="315" t="str">
        <v>Lu</v>
      </c>
      <c r="BT49" s="316" t="str">
        <v>unn</v>
      </c>
      <c r="BU49" s="323">
        <f t="shared" si="1"/>
        <v>3</v>
      </c>
      <c r="BW49" s="126" t="str">
        <f t="shared" si="8"/>
        <v xml:space="preserve">    "J": { commit: "ㆫ" }  # /unn/ ==&gt; Lu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10" t="str" cm="1">
        <f t="array" ref="BM50">INDEX($D$18:$BH$18, 1, $BO50)</f>
        <v>ㆥ</v>
      </c>
      <c r="BN50" s="410" t="str" cm="1">
        <f t="array" aca="1" ref="BN50" ca="1">INDIRECT(ADDRESS(17, COLUMN($D$18) + $BO50 - 1))</f>
        <v>&lt;</v>
      </c>
      <c r="BO50" s="39">
        <f t="shared" si="0"/>
        <v>46</v>
      </c>
      <c r="BP50" s="321" t="str">
        <v>ㆥ</v>
      </c>
      <c r="BQ50" s="322" t="str">
        <f xml:space="preserve"> _xlfn.XLOOKUP(BP50, 按鍵設計表[注音符號], 按鍵設計表[聲韻調], "")</f>
        <v>韻</v>
      </c>
      <c r="BR50" s="314" t="str">
        <v>&lt;</v>
      </c>
      <c r="BS50" s="315" t="str">
        <v>Le</v>
      </c>
      <c r="BT50" s="316" t="str">
        <v>enn</v>
      </c>
      <c r="BU50" s="323">
        <f t="shared" si="1"/>
        <v>3</v>
      </c>
      <c r="BW50" s="126" t="str">
        <f t="shared" si="8"/>
        <v xml:space="preserve">    "&lt;": { commit: "ㆥ" }  # /enn/ ==&gt; Le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10" t="str" cm="1">
        <f t="array" ref="BM51">INDEX($D$18:$BH$18, 1, $BO51)</f>
        <v>ㆧ</v>
      </c>
      <c r="BN51" s="410" t="str" cm="1">
        <f t="array" aca="1" ref="BN51" ca="1">INDIRECT(ADDRESS(17, COLUMN($D$18) + $BO51 - 1))</f>
        <v>I</v>
      </c>
      <c r="BO51" s="39">
        <f t="shared" si="0"/>
        <v>47</v>
      </c>
      <c r="BP51" s="321" t="str">
        <v>ㆧ</v>
      </c>
      <c r="BQ51" s="322" t="str">
        <f xml:space="preserve"> _xlfn.XLOOKUP(BP51, 按鍵設計表[注音符號], 按鍵設計表[聲韻調], "")</f>
        <v>韻</v>
      </c>
      <c r="BR51" s="314" t="str">
        <v>I</v>
      </c>
      <c r="BS51" s="315" t="str">
        <v>Lo</v>
      </c>
      <c r="BT51" s="316" t="str">
        <v>onn</v>
      </c>
      <c r="BU51" s="323">
        <f t="shared" si="1"/>
        <v>3</v>
      </c>
      <c r="BW51" s="126" t="str">
        <f t="shared" si="8"/>
        <v xml:space="preserve">    "I": { commit: "ㆧ" }  # /onn/ ==&gt; Lo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10" t="str" cm="1">
        <f t="array" ref="BM52">INDEX($D$18:$BH$18, 1, $BO52)</f>
        <v>ㆮ</v>
      </c>
      <c r="BN52" s="410" t="str" cm="1">
        <f t="array" aca="1" ref="BN52" ca="1">INDIRECT(ADDRESS(17, COLUMN($D$18) + $BO52 - 1))</f>
        <v>(</v>
      </c>
      <c r="BO52" s="39">
        <f t="shared" si="0"/>
        <v>48</v>
      </c>
      <c r="BP52" s="321" t="str">
        <v>ㆮ</v>
      </c>
      <c r="BQ52" s="322" t="str">
        <f xml:space="preserve"> _xlfn.XLOOKUP(BP52, 按鍵設計表[注音符號], 按鍵設計表[聲韻調], "")</f>
        <v>韻</v>
      </c>
      <c r="BR52" s="314" t="str">
        <v>(</v>
      </c>
      <c r="BS52" s="315" t="str">
        <v>LI</v>
      </c>
      <c r="BT52" s="316" t="str">
        <v>ainn</v>
      </c>
      <c r="BU52" s="323">
        <f t="shared" si="1"/>
        <v>4</v>
      </c>
      <c r="BW52" s="126" t="str">
        <f t="shared" si="8"/>
        <v xml:space="preserve">    "(": { commit: "ㆮ" }  # /ainn/ ==&gt; LI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10" t="str" cm="1">
        <f t="array" ref="BM53">INDEX($D$18:$BH$18, 1, $BO53)</f>
        <v>ㆯ</v>
      </c>
      <c r="BN53" s="410" t="str" cm="1">
        <f t="array" aca="1" ref="BN53" ca="1">INDIRECT(ADDRESS(17, COLUMN($D$18) + $BO53 - 1))</f>
        <v>L</v>
      </c>
      <c r="BO53" s="39">
        <f t="shared" si="0"/>
        <v>49</v>
      </c>
      <c r="BP53" s="321" t="str">
        <v>ㆯ</v>
      </c>
      <c r="BQ53" s="322" t="str">
        <f xml:space="preserve"> _xlfn.XLOOKUP(BP53, 按鍵設計表[注音符號], 按鍵設計表[聲韻調], "")</f>
        <v>韻</v>
      </c>
      <c r="BR53" s="314" t="str">
        <v>L</v>
      </c>
      <c r="BS53" s="315" t="str">
        <v>LU</v>
      </c>
      <c r="BT53" s="316" t="str">
        <v>aunn</v>
      </c>
      <c r="BU53" s="323">
        <f t="shared" si="1"/>
        <v>4</v>
      </c>
      <c r="BW53" s="126" t="str">
        <f t="shared" si="8"/>
        <v xml:space="preserve">    "L": { commit: "ㆯ" }  # /aunn/ ==&gt; LU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10" t="str" cm="1">
        <f t="array" ref="BM54">INDEX($D$18:$BH$18, 1, $BO54)</f>
        <v>˙</v>
      </c>
      <c r="BN54" s="410" cm="1">
        <f t="array" aca="1" ref="BN54" ca="1">INDIRECT(ADDRESS(17, COLUMN($D$18) + $BO54 - 1))</f>
        <v>7</v>
      </c>
      <c r="BO54" s="39">
        <f t="shared" si="0"/>
        <v>50</v>
      </c>
      <c r="BP54" s="321" t="str">
        <v>˙</v>
      </c>
      <c r="BQ54" s="322" t="str">
        <f xml:space="preserve"> _xlfn.XLOOKUP(BP54, 按鍵設計表[注音符號], 按鍵設計表[聲韻調], "")</f>
        <v>調</v>
      </c>
      <c r="BR54" s="314">
        <v>7</v>
      </c>
      <c r="BS54" s="315">
        <v>0</v>
      </c>
      <c r="BT54" s="316">
        <v>0</v>
      </c>
      <c r="BU54" s="323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10" t="str" cm="1">
        <f t="array" ref="BM55">INDEX($D$18:$BH$18, 1, $BO55)</f>
        <v>˫</v>
      </c>
      <c r="BN55" s="410" cm="1">
        <f t="array" aca="1" ref="BN55" ca="1">INDIRECT(ADDRESS(17, COLUMN($D$18) + $BO55 - 1))</f>
        <v>5</v>
      </c>
      <c r="BO55" s="39">
        <f t="shared" si="0"/>
        <v>51</v>
      </c>
      <c r="BP55" s="321" t="str">
        <v>˫</v>
      </c>
      <c r="BQ55" s="322" t="str">
        <f xml:space="preserve"> _xlfn.XLOOKUP(BP55, 按鍵設計表[注音符號], 按鍵設計表[聲韻調], "")</f>
        <v>調</v>
      </c>
      <c r="BR55" s="314">
        <v>5</v>
      </c>
      <c r="BS55" s="315">
        <v>7</v>
      </c>
      <c r="BT55" s="316">
        <v>7</v>
      </c>
      <c r="BU55" s="323">
        <f t="shared" si="1"/>
        <v>1</v>
      </c>
      <c r="BW55" s="126" t="str">
        <f t="shared" si="8"/>
        <v xml:space="preserve">    "5": { commit: "˫"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7" xml:space="preserve"> MID($E$51,C$55,1)</f>
        <v>p</v>
      </c>
      <c r="D56" s="299" t="str">
        <f t="shared" si="17"/>
        <v>P</v>
      </c>
      <c r="E56" s="299" t="str">
        <f t="shared" si="17"/>
        <v>m</v>
      </c>
      <c r="F56" s="299" t="str">
        <f t="shared" si="17"/>
        <v>n</v>
      </c>
      <c r="G56" s="299" t="str">
        <f t="shared" si="17"/>
        <v>t</v>
      </c>
      <c r="H56" s="299" t="str">
        <f t="shared" si="17"/>
        <v>T</v>
      </c>
      <c r="I56" s="299" t="str">
        <f t="shared" si="17"/>
        <v>l</v>
      </c>
      <c r="J56" s="299" t="str">
        <f t="shared" si="17"/>
        <v>g</v>
      </c>
      <c r="K56" s="299" t="str">
        <f t="shared" si="17"/>
        <v>k</v>
      </c>
      <c r="L56" s="299" t="str">
        <f t="shared" si="17"/>
        <v>K</v>
      </c>
      <c r="M56" s="299" t="str">
        <f t="shared" si="17"/>
        <v>ŋ</v>
      </c>
      <c r="N56" s="299" t="str">
        <f t="shared" si="17"/>
        <v>j</v>
      </c>
      <c r="O56" s="299" t="str">
        <f t="shared" si="17"/>
        <v>z</v>
      </c>
      <c r="P56" s="299" t="str">
        <f t="shared" si="17"/>
        <v>c</v>
      </c>
      <c r="Q56" s="299" t="str">
        <f t="shared" si="17"/>
        <v>s</v>
      </c>
      <c r="R56" s="299" t="str">
        <f t="shared" si="17"/>
        <v>h</v>
      </c>
      <c r="S56" s="299" t="str">
        <f t="shared" si="17"/>
        <v>J</v>
      </c>
      <c r="T56" s="299" t="str">
        <f t="shared" si="17"/>
        <v>Z</v>
      </c>
      <c r="U56" s="299" t="str">
        <f t="shared" si="17"/>
        <v>C</v>
      </c>
      <c r="V56" s="299" t="str">
        <f t="shared" si="17"/>
        <v>S</v>
      </c>
      <c r="W56" s="299" t="str">
        <f t="shared" si="17"/>
        <v>a</v>
      </c>
      <c r="X56" s="299" t="str">
        <f t="shared" si="17"/>
        <v>i</v>
      </c>
      <c r="Y56" s="299" t="str">
        <f t="shared" si="17"/>
        <v>w</v>
      </c>
      <c r="Z56" s="299" t="str">
        <f t="shared" si="17"/>
        <v>u</v>
      </c>
      <c r="AA56" s="299" t="str">
        <f t="shared" si="17"/>
        <v>e</v>
      </c>
      <c r="AB56" s="299" t="str">
        <f t="shared" si="17"/>
        <v>o</v>
      </c>
      <c r="AC56" s="299" t="str">
        <f t="shared" si="17"/>
        <v>ə</v>
      </c>
      <c r="AD56" s="299" t="str">
        <f t="shared" si="17"/>
        <v>M</v>
      </c>
      <c r="AE56" s="299" t="str">
        <f t="shared" si="17"/>
        <v>N</v>
      </c>
      <c r="AF56" s="299" t="str">
        <f t="shared" si="17"/>
        <v>G</v>
      </c>
      <c r="AG56" s="299" t="str">
        <f t="shared" si="17"/>
        <v>R</v>
      </c>
      <c r="AH56" s="299" t="str">
        <f t="shared" si="17"/>
        <v>F</v>
      </c>
      <c r="AI56" s="299" t="str">
        <f t="shared" si="17"/>
        <v>Q</v>
      </c>
      <c r="AJ56" s="299" t="str">
        <f t="shared" si="17"/>
        <v>V</v>
      </c>
      <c r="AK56" s="299" t="str">
        <f t="shared" si="17"/>
        <v>I</v>
      </c>
      <c r="AL56" s="299" t="str">
        <f t="shared" si="17"/>
        <v>U</v>
      </c>
      <c r="AM56" s="299" t="str">
        <f t="shared" si="17"/>
        <v>Y</v>
      </c>
      <c r="AN56" s="299" t="str">
        <f xml:space="preserve"> MID($E$51,AN$55,1)</f>
        <v>@</v>
      </c>
      <c r="AO56" s="299" t="str">
        <f xml:space="preserve"> MID($E$51,AO$55,1)</f>
        <v>A</v>
      </c>
      <c r="AP56" s="299" t="str">
        <f xml:space="preserve"> MID($E$51,AP$55,1)</f>
        <v>W</v>
      </c>
      <c r="AQ56" s="299" t="str">
        <f xml:space="preserve"> MID($E$51,AQ$55,1)</f>
        <v>H</v>
      </c>
      <c r="AR56" s="299" t="str">
        <f xml:space="preserve"> MID($E$51,AR$55,1)</f>
        <v>0</v>
      </c>
      <c r="AS56" s="299" t="str">
        <f xml:space="preserve"> MID($E$51,AS$55,1)</f>
        <v>7</v>
      </c>
      <c r="AT56" s="299" t="str">
        <f xml:space="preserve"> MID($E$51,AT$55,1)</f>
        <v>3</v>
      </c>
      <c r="AU56" s="299" t="str">
        <f t="shared" si="17"/>
        <v>2</v>
      </c>
      <c r="AV56" s="299" t="str">
        <f t="shared" si="17"/>
        <v>5</v>
      </c>
      <c r="AW56" s="299" t="str">
        <f t="shared" si="17"/>
        <v/>
      </c>
      <c r="AX56" s="299" t="str">
        <f t="shared" si="17"/>
        <v/>
      </c>
      <c r="AY56" s="299" t="str">
        <f t="shared" si="17"/>
        <v/>
      </c>
      <c r="AZ56" s="299" t="str">
        <f t="shared" si="17"/>
        <v/>
      </c>
      <c r="BA56" s="299" t="str">
        <f t="shared" si="17"/>
        <v/>
      </c>
      <c r="BB56" s="299" t="str">
        <f t="shared" si="17"/>
        <v/>
      </c>
      <c r="BC56" s="299" t="str">
        <f t="shared" ref="BC56:BF56" si="18" xml:space="preserve"> MID($E$41,BC$45,1)</f>
        <v/>
      </c>
      <c r="BD56" s="299" t="str">
        <f t="shared" si="18"/>
        <v/>
      </c>
      <c r="BE56" s="299" t="str">
        <f t="shared" si="18"/>
        <v/>
      </c>
      <c r="BF56" s="299" t="str">
        <f t="shared" si="18"/>
        <v/>
      </c>
      <c r="BG56" s="83"/>
      <c r="BH56" s="83"/>
      <c r="BI56" s="83"/>
      <c r="BJ56" s="83"/>
      <c r="BK56" s="83"/>
      <c r="BL56" s="83"/>
      <c r="BM56" s="410" t="str" cm="1">
        <f t="array" ref="BM56">INDEX($D$18:$BH$18, 1, $BO56)</f>
        <v>˪</v>
      </c>
      <c r="BN56" s="410" cm="1">
        <f t="array" aca="1" ref="BN56" ca="1">INDIRECT(ADDRESS(17, COLUMN($D$18) + $BO56 - 1))</f>
        <v>3</v>
      </c>
      <c r="BO56" s="39">
        <f t="shared" si="0"/>
        <v>52</v>
      </c>
      <c r="BP56" s="321" t="str">
        <v>˪</v>
      </c>
      <c r="BQ56" s="322" t="str">
        <f xml:space="preserve"> _xlfn.XLOOKUP(BP56, 按鍵設計表[注音符號], 按鍵設計表[聲韻調], "")</f>
        <v>調</v>
      </c>
      <c r="BR56" s="314">
        <v>3</v>
      </c>
      <c r="BS56" s="315" t="str">
        <v>3</v>
      </c>
      <c r="BT56" s="316">
        <v>3</v>
      </c>
      <c r="BU56" s="323">
        <f t="shared" si="1"/>
        <v>1</v>
      </c>
      <c r="BW56" s="12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19" xml:space="preserve"> MID($E$52,C$55,1)</f>
        <v>ㄅ</v>
      </c>
      <c r="D57" s="300" t="str">
        <f t="shared" si="19"/>
        <v>ㄆ</v>
      </c>
      <c r="E57" s="300" t="str">
        <f t="shared" si="19"/>
        <v>ㄇ</v>
      </c>
      <c r="F57" s="300" t="str">
        <f t="shared" si="19"/>
        <v>ㄋ</v>
      </c>
      <c r="G57" s="300" t="str">
        <f t="shared" si="19"/>
        <v>ㄉ</v>
      </c>
      <c r="H57" s="300" t="str">
        <f t="shared" si="19"/>
        <v>ㄊ</v>
      </c>
      <c r="I57" s="300" t="str">
        <f t="shared" si="19"/>
        <v>ㄌ</v>
      </c>
      <c r="J57" s="300" t="str">
        <f t="shared" si="19"/>
        <v>ㆣ</v>
      </c>
      <c r="K57" s="300" t="str">
        <f t="shared" si="19"/>
        <v>ㄍ</v>
      </c>
      <c r="L57" s="300" t="str">
        <f t="shared" si="19"/>
        <v>ㄎ</v>
      </c>
      <c r="M57" s="300" t="str">
        <f t="shared" si="19"/>
        <v>ㄫ</v>
      </c>
      <c r="N57" s="300" t="str">
        <f t="shared" si="19"/>
        <v>ㆡ</v>
      </c>
      <c r="O57" s="300" t="str">
        <f t="shared" si="19"/>
        <v>ㄗ</v>
      </c>
      <c r="P57" s="300" t="str">
        <f t="shared" si="19"/>
        <v>ㄘ</v>
      </c>
      <c r="Q57" s="300" t="str">
        <f t="shared" si="19"/>
        <v>ㄙ</v>
      </c>
      <c r="R57" s="300" t="str">
        <f t="shared" si="19"/>
        <v>ㄏ</v>
      </c>
      <c r="S57" s="300" t="str">
        <f t="shared" si="19"/>
        <v>ㆢ</v>
      </c>
      <c r="T57" s="300" t="str">
        <f t="shared" si="19"/>
        <v>ㄐ</v>
      </c>
      <c r="U57" s="300" t="str">
        <f t="shared" si="19"/>
        <v>ㄑ</v>
      </c>
      <c r="V57" s="300" t="str">
        <f t="shared" si="19"/>
        <v>ㄒ</v>
      </c>
      <c r="W57" s="300" t="str">
        <f t="shared" si="19"/>
        <v>ㄚ</v>
      </c>
      <c r="X57" s="300" t="str">
        <f t="shared" si="19"/>
        <v>ㄧ</v>
      </c>
      <c r="Y57" s="300" t="str">
        <f t="shared" si="19"/>
        <v>ㆨ</v>
      </c>
      <c r="Z57" s="300" t="str">
        <f t="shared" si="19"/>
        <v>ㄨ</v>
      </c>
      <c r="AA57" s="300" t="str">
        <f t="shared" si="19"/>
        <v>ㆤ</v>
      </c>
      <c r="AB57" s="300" t="str">
        <f t="shared" si="19"/>
        <v>ㆦ</v>
      </c>
      <c r="AC57" s="300" t="str">
        <f t="shared" si="19"/>
        <v>ㄜ</v>
      </c>
      <c r="AD57" s="300" t="str">
        <f t="shared" si="19"/>
        <v>ㆬ</v>
      </c>
      <c r="AE57" s="300" t="str">
        <f t="shared" si="19"/>
        <v>ㄣ</v>
      </c>
      <c r="AF57" s="300" t="str">
        <f t="shared" si="19"/>
        <v>ㆭ</v>
      </c>
      <c r="AG57" s="300" t="str">
        <f t="shared" si="19"/>
        <v>ㆴ</v>
      </c>
      <c r="AH57" s="300" t="str">
        <f t="shared" si="19"/>
        <v>ㆵ</v>
      </c>
      <c r="AI57" s="300" t="str">
        <f t="shared" si="19"/>
        <v>ㆻ</v>
      </c>
      <c r="AJ57" s="300" t="str">
        <f t="shared" si="19"/>
        <v>ㆻ</v>
      </c>
      <c r="AK57" s="300" t="str">
        <f t="shared" si="19"/>
        <v>ㄞ</v>
      </c>
      <c r="AL57" s="300" t="str">
        <f t="shared" si="19"/>
        <v>ㄠ</v>
      </c>
      <c r="AM57" s="300" t="str">
        <f t="shared" si="19"/>
        <v>ㆰ</v>
      </c>
      <c r="AN57" s="300" t="str">
        <f xml:space="preserve"> MID($E$52,AN$55,1)</f>
        <v>ㄢ</v>
      </c>
      <c r="AO57" s="300" t="str">
        <f xml:space="preserve"> MID($E$52,AO$55,1)</f>
        <v>ㄤ</v>
      </c>
      <c r="AP57" s="300" t="str">
        <f xml:space="preserve"> MID($E$52,AP$55,1)</f>
        <v>ㆱ</v>
      </c>
      <c r="AQ57" s="300" t="str">
        <f xml:space="preserve"> MID($E$52,AQ$55,1)</f>
        <v>ㆲ</v>
      </c>
      <c r="AR57" s="300" t="str">
        <f xml:space="preserve"> MID($E$52,AR$55,1)</f>
        <v>˙</v>
      </c>
      <c r="AS57" s="300" t="str">
        <f xml:space="preserve"> MID($E$52,AS$55,1)</f>
        <v>˫</v>
      </c>
      <c r="AT57" s="300" t="str">
        <f xml:space="preserve"> MID($E$52,AT$55,1)</f>
        <v>˪</v>
      </c>
      <c r="AU57" s="300" t="str">
        <f t="shared" si="19"/>
        <v>ˋ</v>
      </c>
      <c r="AV57" s="300" t="str">
        <f t="shared" si="19"/>
        <v>ˊ</v>
      </c>
      <c r="AW57" s="300" t="str">
        <f t="shared" si="19"/>
        <v/>
      </c>
      <c r="AX57" s="300" t="str">
        <f t="shared" si="19"/>
        <v/>
      </c>
      <c r="AY57" s="300" t="str">
        <f t="shared" si="19"/>
        <v/>
      </c>
      <c r="AZ57" s="300" t="str">
        <f t="shared" si="19"/>
        <v/>
      </c>
      <c r="BA57" s="300" t="str">
        <f t="shared" si="19"/>
        <v/>
      </c>
      <c r="BB57" s="300" t="str">
        <f t="shared" si="19"/>
        <v/>
      </c>
      <c r="BC57" s="300" t="str">
        <f t="shared" ref="BC57:BF57" si="20" xml:space="preserve"> MID($E$42,BC$45,1)</f>
        <v/>
      </c>
      <c r="BD57" s="300" t="str">
        <f t="shared" si="20"/>
        <v/>
      </c>
      <c r="BE57" s="300" t="str">
        <f t="shared" si="20"/>
        <v/>
      </c>
      <c r="BF57" s="300" t="str">
        <f t="shared" si="20"/>
        <v/>
      </c>
      <c r="BG57" s="83"/>
      <c r="BH57" s="83"/>
      <c r="BI57" s="83"/>
      <c r="BJ57" s="83"/>
      <c r="BK57" s="83"/>
      <c r="BL57" s="83"/>
      <c r="BM57" s="410" t="str" cm="1">
        <f t="array" ref="BM57">INDEX($D$18:$BH$18, 1, $BO57)</f>
        <v>ˋ</v>
      </c>
      <c r="BN57" s="410" cm="1">
        <f t="array" aca="1" ref="BN57" ca="1">INDIRECT(ADDRESS(17, COLUMN($D$18) + $BO57 - 1))</f>
        <v>4</v>
      </c>
      <c r="BO57" s="39">
        <f t="shared" si="0"/>
        <v>53</v>
      </c>
      <c r="BP57" s="321" t="str">
        <v>ˋ</v>
      </c>
      <c r="BQ57" s="322" t="str">
        <f xml:space="preserve"> _xlfn.XLOOKUP(BP57, 按鍵設計表[注音符號], 按鍵設計表[聲韻調], "")</f>
        <v>調</v>
      </c>
      <c r="BR57" s="314">
        <v>4</v>
      </c>
      <c r="BS57" s="315" t="str">
        <v>2</v>
      </c>
      <c r="BT57" s="316">
        <v>2</v>
      </c>
      <c r="BU57" s="323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10" t="str" cm="1">
        <f t="array" ref="BM58">INDEX($D$18:$BH$18, 1, $BO58)</f>
        <v>ˊ</v>
      </c>
      <c r="BN58" s="410" cm="1">
        <f t="array" aca="1" ref="BN58" ca="1">INDIRECT(ADDRESS(17, COLUMN($D$18) + $BO58 - 1))</f>
        <v>6</v>
      </c>
      <c r="BO58" s="39">
        <f t="shared" si="0"/>
        <v>54</v>
      </c>
      <c r="BP58" s="321" t="str">
        <v>ˊ</v>
      </c>
      <c r="BQ58" s="322" t="str">
        <f xml:space="preserve"> _xlfn.XLOOKUP(BP58, 按鍵設計表[注音符號], 按鍵設計表[聲韻調], "")</f>
        <v>調</v>
      </c>
      <c r="BR58" s="314">
        <v>6</v>
      </c>
      <c r="BS58" s="315" t="str">
        <v>5</v>
      </c>
      <c r="BT58" s="316">
        <v>5</v>
      </c>
      <c r="BU58" s="323">
        <f t="shared" si="1"/>
        <v>1</v>
      </c>
      <c r="BW58" s="12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10" t="str" cm="1">
        <f t="array" ref="BM59">INDEX($D$18:$BH$18, 1, $BO59)</f>
        <v>ㄥ</v>
      </c>
      <c r="BN59" s="410" t="str" cm="1">
        <f t="array" aca="1" ref="BN59" ca="1">INDIRECT(ADDRESS(17, COLUMN($D$18) + $BO59 - 1))</f>
        <v>N</v>
      </c>
      <c r="BO59" s="39">
        <f t="shared" si="0"/>
        <v>55</v>
      </c>
      <c r="BP59" s="321" t="str">
        <v>ㄥ</v>
      </c>
      <c r="BQ59" s="322" t="str">
        <f xml:space="preserve"> _xlfn.XLOOKUP(BP59, 按鍵設計表[注音符號], 按鍵設計表[聲韻調], "")</f>
        <v>鍵</v>
      </c>
      <c r="BR59" s="314" t="str">
        <v>N</v>
      </c>
      <c r="BS59" s="315" t="str">
        <v>L</v>
      </c>
      <c r="BT59" s="316">
        <v>0</v>
      </c>
      <c r="BU59" s="323">
        <f t="shared" ref="BU59:BU60" si="21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10" t="str" cm="1">
        <f t="array" ref="BM60">INDEX($D$18:$BH$18, 1, $BO60)</f>
        <v>入</v>
      </c>
      <c r="BN60" s="410" t="str" cm="1">
        <f t="array" aca="1" ref="BN60" ca="1">INDIRECT(ADDRESS(17, COLUMN($D$18) + $BO60 - 1))</f>
        <v>.</v>
      </c>
      <c r="BO60" s="39">
        <f t="shared" si="0"/>
        <v>56</v>
      </c>
      <c r="BP60" s="321" t="str">
        <v>入</v>
      </c>
      <c r="BQ60" s="322" t="str">
        <f xml:space="preserve"> _xlfn.XLOOKUP(BP60, 按鍵設計表[注音符號], 按鍵設計表[聲韻調], "")</f>
        <v>鍵</v>
      </c>
      <c r="BR60" s="314" t="str">
        <v>.</v>
      </c>
      <c r="BS60" s="315" t="str">
        <v>&amp;</v>
      </c>
      <c r="BT60" s="316">
        <v>0</v>
      </c>
      <c r="BU60" s="323">
        <f t="shared" si="21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50.25">
      <c r="B61" s="475" t="s">
        <v>8467</v>
      </c>
      <c r="C61" s="2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10" t="str" cm="1">
        <f t="array" ref="BM61">INDEX($D$18:$BH$18, 1, $BO61)</f>
        <v>ñ</v>
      </c>
      <c r="BN61" s="410" t="str" cm="1">
        <f t="array" aca="1" ref="BN61" ca="1">INDIRECT(ADDRESS(17, COLUMN($D$18) + $BO61 - 1))</f>
        <v>-</v>
      </c>
      <c r="BO61" s="39">
        <f t="shared" si="0"/>
        <v>57</v>
      </c>
      <c r="BP61" s="324" t="str">
        <v>ñ</v>
      </c>
      <c r="BQ61" s="322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2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 ht="50.25">
      <c r="B62" s="476" t="s">
        <v>8468</v>
      </c>
      <c r="C62" s="2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 ht="50.25">
      <c r="B63" s="476" t="s">
        <v>8469</v>
      </c>
      <c r="C63" s="2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 ht="50.25">
      <c r="B64" s="476" t="s">
        <v>8470</v>
      </c>
      <c r="C64" s="2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477" t="s">
        <v>8471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477" t="s">
        <v>8472</v>
      </c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477" t="s">
        <v>8471</v>
      </c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477" t="s">
        <v>8473</v>
      </c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477" t="s">
        <v>8474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477" t="s">
        <v>8475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C72" s="477" t="s">
        <v>8476</v>
      </c>
      <c r="AH72" s="83"/>
      <c r="AI72" s="83"/>
      <c r="AJ72" s="83"/>
      <c r="BG72" s="83"/>
      <c r="BH72" s="83"/>
    </row>
    <row r="73" spans="2:61">
      <c r="C73" s="477" t="s">
        <v>8477</v>
      </c>
      <c r="AH73" s="83"/>
      <c r="AI73" s="83"/>
      <c r="AJ73" s="83"/>
      <c r="BG73" s="83"/>
      <c r="BH73" s="83"/>
    </row>
    <row r="74" spans="2:61">
      <c r="C74" s="477" t="s">
        <v>8478</v>
      </c>
      <c r="AH74" s="83"/>
      <c r="AI74" s="83"/>
      <c r="AJ74" s="83"/>
      <c r="BG74" s="83"/>
      <c r="BH74" s="83"/>
    </row>
    <row r="75" spans="2:61">
      <c r="C75" s="477" t="s">
        <v>8479</v>
      </c>
      <c r="AH75" s="83"/>
      <c r="AI75" s="83"/>
      <c r="AJ75" s="83"/>
    </row>
    <row r="76" spans="2:61">
      <c r="C76" s="477" t="s">
        <v>8480</v>
      </c>
    </row>
    <row r="77" spans="2:61">
      <c r="C77" s="477" t="s">
        <v>8481</v>
      </c>
    </row>
    <row r="78" spans="2:61">
      <c r="C78" s="477"/>
    </row>
    <row r="79" spans="2:61" ht="50.25">
      <c r="C79" s="477" t="s">
        <v>8524</v>
      </c>
      <c r="L79" s="478" t="s">
        <v>8525</v>
      </c>
      <c r="N79" s="479">
        <f xml:space="preserve"> _xlfn.UNICODE(L79)</f>
        <v>63732</v>
      </c>
      <c r="O79" s="479"/>
      <c r="P79" s="479"/>
      <c r="Q79" s="479" t="str">
        <f xml:space="preserve"> DEC2HEX(N79)</f>
        <v>F8F4</v>
      </c>
      <c r="R79" s="479"/>
      <c r="S79" s="479"/>
    </row>
    <row r="80" spans="2:61">
      <c r="C80" s="477" t="s">
        <v>8482</v>
      </c>
    </row>
    <row r="81" spans="3:4">
      <c r="C81" s="477" t="s">
        <v>8483</v>
      </c>
    </row>
    <row r="82" spans="3:4">
      <c r="C82" s="477" t="s">
        <v>8471</v>
      </c>
    </row>
    <row r="83" spans="3:4">
      <c r="C83" s="477" t="s">
        <v>8484</v>
      </c>
    </row>
    <row r="84" spans="3:4">
      <c r="C84" s="477" t="s">
        <v>8471</v>
      </c>
    </row>
    <row r="85" spans="3:4">
      <c r="C85" s="477" t="s">
        <v>8485</v>
      </c>
    </row>
    <row r="86" spans="3:4">
      <c r="C86" s="477" t="s">
        <v>8486</v>
      </c>
    </row>
    <row r="87" spans="3:4">
      <c r="C87" s="477" t="s">
        <v>8487</v>
      </c>
    </row>
    <row r="88" spans="3:4">
      <c r="C88" s="477"/>
    </row>
    <row r="89" spans="3:4">
      <c r="C89" s="477" t="s">
        <v>8488</v>
      </c>
    </row>
    <row r="90" spans="3:4">
      <c r="C90" s="477" t="s">
        <v>8489</v>
      </c>
    </row>
    <row r="91" spans="3:4">
      <c r="C91" s="477" t="s">
        <v>8490</v>
      </c>
    </row>
    <row r="92" spans="3:4">
      <c r="C92" s="477"/>
    </row>
    <row r="93" spans="3:4">
      <c r="C93" s="477" t="s">
        <v>8491</v>
      </c>
      <c r="D93" s="13" t="s">
        <v>8492</v>
      </c>
    </row>
    <row r="94" spans="3:4">
      <c r="C94" s="477" t="s">
        <v>8493</v>
      </c>
      <c r="D94" s="13" t="s">
        <v>8494</v>
      </c>
    </row>
    <row r="95" spans="3:4">
      <c r="C95" s="477" t="s">
        <v>8495</v>
      </c>
      <c r="D95" s="13" t="s">
        <v>8496</v>
      </c>
    </row>
    <row r="96" spans="3:4">
      <c r="C96" s="477" t="s">
        <v>8471</v>
      </c>
    </row>
    <row r="97" spans="3:4">
      <c r="C97" s="477" t="s">
        <v>8497</v>
      </c>
    </row>
    <row r="98" spans="3:4">
      <c r="C98" s="477" t="s">
        <v>8471</v>
      </c>
    </row>
    <row r="99" spans="3:4">
      <c r="C99" s="477" t="s">
        <v>8498</v>
      </c>
    </row>
    <row r="100" spans="3:4">
      <c r="C100" s="477" t="s">
        <v>8499</v>
      </c>
    </row>
    <row r="101" spans="3:4">
      <c r="C101" s="477" t="s">
        <v>8500</v>
      </c>
    </row>
    <row r="102" spans="3:4">
      <c r="C102" s="477" t="s">
        <v>8501</v>
      </c>
    </row>
    <row r="103" spans="3:4">
      <c r="C103" s="477" t="s">
        <v>8502</v>
      </c>
    </row>
    <row r="104" spans="3:4">
      <c r="C104" s="477" t="s">
        <v>8503</v>
      </c>
    </row>
    <row r="105" spans="3:4">
      <c r="C105" s="477" t="s">
        <v>8504</v>
      </c>
    </row>
    <row r="106" spans="3:4">
      <c r="C106" s="477" t="s">
        <v>8505</v>
      </c>
    </row>
    <row r="107" spans="3:4">
      <c r="C107" s="477" t="s">
        <v>8506</v>
      </c>
    </row>
    <row r="108" spans="3:4">
      <c r="C108" s="477" t="s">
        <v>8507</v>
      </c>
    </row>
    <row r="109" spans="3:4">
      <c r="C109" s="477" t="s">
        <v>8506</v>
      </c>
    </row>
    <row r="110" spans="3:4">
      <c r="C110" s="477" t="s">
        <v>8508</v>
      </c>
      <c r="D110" s="13" t="s">
        <v>8509</v>
      </c>
    </row>
    <row r="111" spans="3:4">
      <c r="C111" s="477" t="s">
        <v>8510</v>
      </c>
      <c r="D111" s="13" t="s">
        <v>8511</v>
      </c>
    </row>
    <row r="112" spans="3:4">
      <c r="C112" s="477" t="s">
        <v>8471</v>
      </c>
    </row>
    <row r="113" spans="3:3">
      <c r="C113" s="477" t="s">
        <v>8512</v>
      </c>
    </row>
    <row r="114" spans="3:3">
      <c r="C114" s="477" t="s">
        <v>8471</v>
      </c>
    </row>
    <row r="115" spans="3:3">
      <c r="C115" s="477" t="s">
        <v>8513</v>
      </c>
    </row>
    <row r="116" spans="3:3">
      <c r="C116" s="477" t="s">
        <v>8514</v>
      </c>
    </row>
    <row r="117" spans="3:3">
      <c r="C117" s="477" t="s">
        <v>8515</v>
      </c>
    </row>
    <row r="118" spans="3:3">
      <c r="C118" s="477" t="s">
        <v>8516</v>
      </c>
    </row>
    <row r="119" spans="3:3">
      <c r="C119" s="477" t="s">
        <v>8517</v>
      </c>
    </row>
    <row r="120" spans="3:3">
      <c r="C120" s="477" t="s">
        <v>8518</v>
      </c>
    </row>
    <row r="121" spans="3:3">
      <c r="C121" s="477" t="s">
        <v>8519</v>
      </c>
    </row>
    <row r="122" spans="3:3">
      <c r="C122" s="477" t="s">
        <v>8520</v>
      </c>
    </row>
    <row r="123" spans="3:3">
      <c r="C123" s="477"/>
    </row>
    <row r="124" spans="3:3">
      <c r="C124" s="477" t="s">
        <v>8521</v>
      </c>
    </row>
    <row r="125" spans="3:3">
      <c r="C125" s="477" t="s">
        <v>8522</v>
      </c>
    </row>
    <row r="126" spans="3:3">
      <c r="C126" s="477" t="s">
        <v>8523</v>
      </c>
    </row>
  </sheetData>
  <sortState xmlns:xlrd2="http://schemas.microsoft.com/office/spreadsheetml/2017/richdata2" ref="CJ5:CO27">
    <sortCondition descending="1" ref="CO5:CO27"/>
  </sortState>
  <mergeCells count="4">
    <mergeCell ref="AC9:AD9"/>
    <mergeCell ref="Y6:Z6"/>
    <mergeCell ref="N79:P79"/>
    <mergeCell ref="Q79:S79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workbookViewId="0">
      <selection activeCell="AE17" sqref="AE17"/>
    </sheetView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71" t="s">
        <v>8464</v>
      </c>
    </row>
    <row r="20" spans="2:45">
      <c r="B20">
        <f xml:space="preserve"> LEN(C20)</f>
        <v>42</v>
      </c>
      <c r="C20" s="471" t="s">
        <v>8465</v>
      </c>
    </row>
    <row r="22" spans="2:45">
      <c r="C22" s="472">
        <f xml:space="preserve"> COLUMN() - 2</f>
        <v>1</v>
      </c>
      <c r="D22" s="472">
        <f t="shared" ref="D22:AS22" si="0" xml:space="preserve"> COLUMN() - 2</f>
        <v>2</v>
      </c>
      <c r="E22" s="472">
        <f t="shared" si="0"/>
        <v>3</v>
      </c>
      <c r="F22" s="472">
        <f t="shared" si="0"/>
        <v>4</v>
      </c>
      <c r="G22" s="472">
        <f t="shared" si="0"/>
        <v>5</v>
      </c>
      <c r="H22" s="472">
        <f t="shared" si="0"/>
        <v>6</v>
      </c>
      <c r="I22" s="472">
        <f t="shared" si="0"/>
        <v>7</v>
      </c>
      <c r="J22" s="472">
        <f t="shared" si="0"/>
        <v>8</v>
      </c>
      <c r="K22" s="472">
        <f t="shared" si="0"/>
        <v>9</v>
      </c>
      <c r="L22" s="472">
        <f t="shared" si="0"/>
        <v>10</v>
      </c>
      <c r="M22" s="472">
        <f t="shared" si="0"/>
        <v>11</v>
      </c>
      <c r="N22" s="472">
        <f t="shared" si="0"/>
        <v>12</v>
      </c>
      <c r="O22" s="472">
        <f t="shared" si="0"/>
        <v>13</v>
      </c>
      <c r="P22" s="472">
        <f t="shared" si="0"/>
        <v>14</v>
      </c>
      <c r="Q22" s="472">
        <f t="shared" si="0"/>
        <v>15</v>
      </c>
      <c r="R22" s="472">
        <f t="shared" si="0"/>
        <v>16</v>
      </c>
      <c r="S22" s="472">
        <f t="shared" si="0"/>
        <v>17</v>
      </c>
      <c r="T22" s="472">
        <f t="shared" si="0"/>
        <v>18</v>
      </c>
      <c r="U22" s="472">
        <f t="shared" si="0"/>
        <v>19</v>
      </c>
      <c r="V22" s="472">
        <f t="shared" si="0"/>
        <v>20</v>
      </c>
      <c r="W22" s="472">
        <f t="shared" si="0"/>
        <v>21</v>
      </c>
      <c r="X22" s="472">
        <f t="shared" si="0"/>
        <v>22</v>
      </c>
      <c r="Y22" s="472">
        <f t="shared" si="0"/>
        <v>23</v>
      </c>
      <c r="Z22" s="472">
        <f t="shared" si="0"/>
        <v>24</v>
      </c>
      <c r="AA22" s="472">
        <f t="shared" si="0"/>
        <v>25</v>
      </c>
      <c r="AB22" s="472">
        <f t="shared" si="0"/>
        <v>26</v>
      </c>
      <c r="AC22" s="472">
        <f t="shared" si="0"/>
        <v>27</v>
      </c>
      <c r="AD22" s="472">
        <f t="shared" si="0"/>
        <v>28</v>
      </c>
      <c r="AE22" s="472">
        <f t="shared" si="0"/>
        <v>29</v>
      </c>
      <c r="AF22" s="472">
        <f t="shared" si="0"/>
        <v>30</v>
      </c>
      <c r="AG22" s="472">
        <f t="shared" si="0"/>
        <v>31</v>
      </c>
      <c r="AH22" s="472">
        <f t="shared" si="0"/>
        <v>32</v>
      </c>
      <c r="AI22" s="472">
        <f t="shared" si="0"/>
        <v>33</v>
      </c>
      <c r="AJ22" s="472">
        <f t="shared" si="0"/>
        <v>34</v>
      </c>
      <c r="AK22" s="472">
        <f t="shared" si="0"/>
        <v>35</v>
      </c>
      <c r="AL22" s="472">
        <f t="shared" si="0"/>
        <v>36</v>
      </c>
      <c r="AM22" s="472">
        <f t="shared" si="0"/>
        <v>37</v>
      </c>
      <c r="AN22" s="472">
        <f t="shared" si="0"/>
        <v>38</v>
      </c>
      <c r="AO22" s="472">
        <f t="shared" si="0"/>
        <v>39</v>
      </c>
      <c r="AP22" s="472">
        <f t="shared" si="0"/>
        <v>40</v>
      </c>
      <c r="AQ22" s="472">
        <f t="shared" si="0"/>
        <v>41</v>
      </c>
      <c r="AR22" s="472">
        <f t="shared" si="0"/>
        <v>42</v>
      </c>
      <c r="AS22" s="472">
        <f t="shared" si="0"/>
        <v>43</v>
      </c>
    </row>
    <row r="23" spans="2:45">
      <c r="C23" s="473" t="str">
        <f xml:space="preserve"> MID($C$19, C$22, 1)</f>
        <v>p</v>
      </c>
      <c r="D23" s="473" t="str">
        <f t="shared" ref="D23:AS23" si="1" xml:space="preserve"> MID($C$19, D$22, 1)</f>
        <v>P</v>
      </c>
      <c r="E23" s="473" t="str">
        <f t="shared" si="1"/>
        <v>m</v>
      </c>
      <c r="F23" s="473" t="str">
        <f t="shared" si="1"/>
        <v>b</v>
      </c>
      <c r="G23" s="473" t="str">
        <f t="shared" si="1"/>
        <v>t</v>
      </c>
      <c r="H23" s="473" t="str">
        <f t="shared" si="1"/>
        <v>T</v>
      </c>
      <c r="I23" s="473" t="str">
        <f t="shared" si="1"/>
        <v>n</v>
      </c>
      <c r="J23" s="473" t="str">
        <f t="shared" si="1"/>
        <v>d</v>
      </c>
      <c r="K23" s="473" t="str">
        <f t="shared" si="1"/>
        <v>k</v>
      </c>
      <c r="L23" s="473" t="str">
        <f t="shared" si="1"/>
        <v>K</v>
      </c>
      <c r="M23" s="473" t="str">
        <f t="shared" si="1"/>
        <v>h</v>
      </c>
      <c r="N23" s="473" t="str">
        <f t="shared" si="1"/>
        <v>j</v>
      </c>
      <c r="O23" s="473" t="str">
        <f t="shared" si="1"/>
        <v>J</v>
      </c>
      <c r="P23" s="473" t="str">
        <f t="shared" si="1"/>
        <v>S</v>
      </c>
      <c r="Q23" s="473" t="str">
        <f t="shared" si="1"/>
        <v>g</v>
      </c>
      <c r="R23" s="473" t="str">
        <f t="shared" si="1"/>
        <v>q</v>
      </c>
      <c r="S23" s="473" t="str">
        <f t="shared" si="1"/>
        <v>z</v>
      </c>
      <c r="T23" s="473" t="str">
        <f t="shared" si="1"/>
        <v>c</v>
      </c>
      <c r="U23" s="473" t="str">
        <f t="shared" si="1"/>
        <v>C</v>
      </c>
      <c r="V23" s="473" t="str">
        <f t="shared" si="1"/>
        <v>s</v>
      </c>
      <c r="W23" s="473" t="str">
        <f t="shared" si="1"/>
        <v>i</v>
      </c>
      <c r="X23" s="473" t="str">
        <f t="shared" si="1"/>
        <v>u</v>
      </c>
      <c r="Y23" s="473" t="str">
        <f t="shared" si="1"/>
        <v>B</v>
      </c>
      <c r="Z23" s="473" t="str">
        <f t="shared" si="1"/>
        <v>a</v>
      </c>
      <c r="AA23" s="473" t="str">
        <f t="shared" si="1"/>
        <v>o</v>
      </c>
      <c r="AB23" s="473" t="str">
        <f t="shared" si="1"/>
        <v>ø</v>
      </c>
      <c r="AC23" s="473" t="str">
        <f t="shared" si="1"/>
        <v>M</v>
      </c>
      <c r="AD23" s="473" t="str">
        <f t="shared" si="1"/>
        <v>I</v>
      </c>
      <c r="AE23" s="473" t="str">
        <f t="shared" si="1"/>
        <v>e</v>
      </c>
      <c r="AF23" s="473" t="str">
        <f t="shared" si="1"/>
        <v>U</v>
      </c>
      <c r="AG23" s="473" t="str">
        <f t="shared" si="1"/>
        <v>Y</v>
      </c>
      <c r="AH23" s="473" t="str">
        <f t="shared" si="1"/>
        <v>L</v>
      </c>
      <c r="AI23" s="473" t="str">
        <f t="shared" si="1"/>
        <v>D</v>
      </c>
      <c r="AJ23" s="473" t="str">
        <f t="shared" si="1"/>
        <v>Q</v>
      </c>
      <c r="AK23" s="474" t="str">
        <f t="shared" si="1"/>
        <v>G</v>
      </c>
      <c r="AL23" s="473" t="str">
        <f t="shared" si="1"/>
        <v>N</v>
      </c>
      <c r="AM23" s="473" t="str">
        <f t="shared" si="1"/>
        <v>1</v>
      </c>
      <c r="AN23" s="473" t="str">
        <f t="shared" si="1"/>
        <v>2</v>
      </c>
      <c r="AO23" s="473" t="str">
        <f t="shared" si="1"/>
        <v>3</v>
      </c>
      <c r="AP23" s="473" t="str">
        <f t="shared" si="1"/>
        <v>5</v>
      </c>
      <c r="AQ23" s="473" t="str">
        <f t="shared" si="1"/>
        <v>7</v>
      </c>
      <c r="AR23" s="473" t="str">
        <f t="shared" si="1"/>
        <v>0</v>
      </c>
      <c r="AS23" s="473" t="str">
        <f t="shared" si="1"/>
        <v/>
      </c>
    </row>
    <row r="24" spans="2:45">
      <c r="C24" s="473" t="str">
        <f xml:space="preserve"> MID($C$20, C$22, 1)</f>
        <v>1</v>
      </c>
      <c r="D24" s="473" t="str">
        <f t="shared" ref="D24:AS24" si="2" xml:space="preserve"> MID($C$20, D$22, 1)</f>
        <v>q</v>
      </c>
      <c r="E24" s="473" t="str">
        <f t="shared" si="2"/>
        <v>a</v>
      </c>
      <c r="F24" s="473" t="str">
        <f t="shared" si="2"/>
        <v>z</v>
      </c>
      <c r="G24" s="473" t="str">
        <f t="shared" si="2"/>
        <v>2</v>
      </c>
      <c r="H24" s="473" t="str">
        <f t="shared" si="2"/>
        <v>w</v>
      </c>
      <c r="I24" s="473" t="str">
        <f t="shared" si="2"/>
        <v>s</v>
      </c>
      <c r="J24" s="473" t="str">
        <f t="shared" si="2"/>
        <v>x</v>
      </c>
      <c r="K24" s="473" t="str">
        <f t="shared" si="2"/>
        <v>e</v>
      </c>
      <c r="L24" s="473" t="str">
        <f t="shared" si="2"/>
        <v>d</v>
      </c>
      <c r="M24" s="473" t="str">
        <f t="shared" si="2"/>
        <v>c</v>
      </c>
      <c r="N24" s="473" t="str">
        <f t="shared" si="2"/>
        <v>r</v>
      </c>
      <c r="O24" s="473" t="str">
        <f t="shared" si="2"/>
        <v>f</v>
      </c>
      <c r="P24" s="473" t="str">
        <f t="shared" si="2"/>
        <v>v</v>
      </c>
      <c r="Q24" s="473" t="str">
        <f t="shared" si="2"/>
        <v>t</v>
      </c>
      <c r="R24" s="473" t="str">
        <f t="shared" si="2"/>
        <v>g</v>
      </c>
      <c r="S24" s="473" t="str">
        <f t="shared" si="2"/>
        <v>b</v>
      </c>
      <c r="T24" s="473" t="str">
        <f t="shared" si="2"/>
        <v>y</v>
      </c>
      <c r="U24" s="473" t="str">
        <f t="shared" si="2"/>
        <v>h</v>
      </c>
      <c r="V24" s="473" t="str">
        <f t="shared" si="2"/>
        <v>n</v>
      </c>
      <c r="W24" s="473" t="str">
        <f t="shared" si="2"/>
        <v>u</v>
      </c>
      <c r="X24" s="473" t="str">
        <f t="shared" si="2"/>
        <v>j</v>
      </c>
      <c r="Y24" s="473" t="str">
        <f t="shared" si="2"/>
        <v>m</v>
      </c>
      <c r="Z24" s="473" t="str">
        <f t="shared" si="2"/>
        <v>8</v>
      </c>
      <c r="AA24" s="473" t="str">
        <f t="shared" si="2"/>
        <v>i</v>
      </c>
      <c r="AB24" s="473" t="str">
        <f t="shared" si="2"/>
        <v>k</v>
      </c>
      <c r="AC24" s="473" t="str">
        <f t="shared" si="2"/>
        <v>,</v>
      </c>
      <c r="AD24" s="473" t="str">
        <f t="shared" si="2"/>
        <v>9</v>
      </c>
      <c r="AE24" s="473" t="str">
        <f t="shared" si="2"/>
        <v>o</v>
      </c>
      <c r="AF24" s="473" t="str">
        <f t="shared" si="2"/>
        <v>l</v>
      </c>
      <c r="AG24" s="473" t="str">
        <f t="shared" si="2"/>
        <v>.</v>
      </c>
      <c r="AH24" s="473" t="str">
        <f t="shared" si="2"/>
        <v>0</v>
      </c>
      <c r="AI24" s="473" t="str">
        <f t="shared" si="2"/>
        <v>p</v>
      </c>
      <c r="AJ24" s="473" t="str">
        <f t="shared" si="2"/>
        <v>;</v>
      </c>
      <c r="AK24" s="474" t="str">
        <f t="shared" si="2"/>
        <v>/</v>
      </c>
      <c r="AL24" s="473" t="str">
        <f t="shared" si="2"/>
        <v>-</v>
      </c>
      <c r="AM24" s="473" t="str">
        <f t="shared" si="2"/>
        <v xml:space="preserve"> </v>
      </c>
      <c r="AN24" s="473" t="str">
        <f t="shared" si="2"/>
        <v>4</v>
      </c>
      <c r="AO24" s="473" t="str">
        <f t="shared" si="2"/>
        <v>3</v>
      </c>
      <c r="AP24" s="473" t="str">
        <f t="shared" si="2"/>
        <v>6</v>
      </c>
      <c r="AQ24" s="473" t="str">
        <f t="shared" si="2"/>
        <v>5</v>
      </c>
      <c r="AR24" s="473" t="str">
        <f t="shared" si="2"/>
        <v>7</v>
      </c>
      <c r="AS24" s="473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303"/>
    <col min="30" max="30" width="8.3984375" style="303" customWidth="1"/>
    <col min="31" max="16384" width="4.296875" style="303"/>
  </cols>
  <sheetData>
    <row r="1" spans="1:34">
      <c r="A1" s="307" t="str">
        <f t="shared" ref="A1:Z1" si="0" xml:space="preserve"> CHAR(A8)</f>
        <v>a</v>
      </c>
      <c r="B1" s="305" t="str">
        <f t="shared" si="0"/>
        <v>b</v>
      </c>
      <c r="C1" s="304" t="str">
        <f t="shared" si="0"/>
        <v>c</v>
      </c>
      <c r="D1" s="303" t="str">
        <f t="shared" si="0"/>
        <v>d</v>
      </c>
      <c r="E1" s="307" t="str">
        <f t="shared" si="0"/>
        <v>e</v>
      </c>
      <c r="F1" s="313" t="str">
        <f t="shared" si="0"/>
        <v>f</v>
      </c>
      <c r="G1" s="305" t="str">
        <f t="shared" si="0"/>
        <v>g</v>
      </c>
      <c r="H1" s="307" t="str">
        <f t="shared" si="0"/>
        <v>h</v>
      </c>
      <c r="I1" s="307" t="str">
        <f t="shared" si="0"/>
        <v>i</v>
      </c>
      <c r="J1" s="304" t="str">
        <f t="shared" si="0"/>
        <v>j</v>
      </c>
      <c r="K1" s="305" t="str">
        <f t="shared" si="0"/>
        <v>k</v>
      </c>
      <c r="L1" s="307" t="str">
        <f t="shared" si="0"/>
        <v>l</v>
      </c>
      <c r="M1" s="305" t="str">
        <f t="shared" si="0"/>
        <v>m</v>
      </c>
      <c r="N1" s="307" t="str">
        <f t="shared" si="0"/>
        <v>n</v>
      </c>
      <c r="O1" s="307" t="str">
        <f t="shared" si="0"/>
        <v>o</v>
      </c>
      <c r="P1" s="305" t="str">
        <f t="shared" si="0"/>
        <v>p</v>
      </c>
      <c r="Q1" s="313" t="str">
        <f t="shared" si="0"/>
        <v>q</v>
      </c>
      <c r="R1" s="313" t="str">
        <f t="shared" si="0"/>
        <v>r</v>
      </c>
      <c r="S1" s="304" t="str">
        <f t="shared" si="0"/>
        <v>s</v>
      </c>
      <c r="T1" s="307" t="str">
        <f t="shared" si="0"/>
        <v>t</v>
      </c>
      <c r="U1" s="307" t="str">
        <f t="shared" si="0"/>
        <v>u</v>
      </c>
      <c r="V1" s="313" t="str">
        <f t="shared" si="0"/>
        <v>v</v>
      </c>
      <c r="W1" s="305" t="str">
        <f t="shared" si="0"/>
        <v>w</v>
      </c>
      <c r="X1" s="311" t="str">
        <f t="shared" si="0"/>
        <v>x</v>
      </c>
      <c r="Y1" s="311" t="str">
        <f t="shared" si="0"/>
        <v>y</v>
      </c>
      <c r="Z1" s="304" t="str">
        <f t="shared" si="0"/>
        <v>z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307" t="str">
        <f t="shared" ref="A2:Z2" si="1" xml:space="preserve"> CHAR(A9)</f>
        <v>A</v>
      </c>
      <c r="B2" s="303" t="str">
        <f t="shared" si="1"/>
        <v>B</v>
      </c>
      <c r="C2" s="304" t="str">
        <f t="shared" si="1"/>
        <v>C</v>
      </c>
      <c r="D2" s="303" t="str">
        <f t="shared" si="1"/>
        <v>D</v>
      </c>
      <c r="E2" s="307" t="str">
        <f t="shared" si="1"/>
        <v>E</v>
      </c>
      <c r="F2" s="313" t="str">
        <f t="shared" si="1"/>
        <v>F</v>
      </c>
      <c r="G2" s="303" t="str">
        <f t="shared" si="1"/>
        <v>G</v>
      </c>
      <c r="H2" s="312" t="str">
        <f t="shared" si="1"/>
        <v>H</v>
      </c>
      <c r="I2" s="307" t="str">
        <f t="shared" si="1"/>
        <v>I</v>
      </c>
      <c r="J2" s="304" t="str">
        <f t="shared" si="1"/>
        <v>J</v>
      </c>
      <c r="K2" s="305" t="str">
        <f t="shared" si="1"/>
        <v>K</v>
      </c>
      <c r="L2" s="309" t="str">
        <f t="shared" si="1"/>
        <v>L</v>
      </c>
      <c r="M2" s="310" t="str">
        <f t="shared" si="1"/>
        <v>M</v>
      </c>
      <c r="N2" s="310" t="str">
        <f t="shared" si="1"/>
        <v>N</v>
      </c>
      <c r="O2" s="308" t="str">
        <f t="shared" si="1"/>
        <v>O</v>
      </c>
      <c r="P2" s="305" t="str">
        <f t="shared" si="1"/>
        <v>P</v>
      </c>
      <c r="Q2" s="308" t="str">
        <f t="shared" si="1"/>
        <v>Q</v>
      </c>
      <c r="R2" s="313" t="str">
        <f t="shared" si="1"/>
        <v>R</v>
      </c>
      <c r="S2" s="304" t="str">
        <f t="shared" si="1"/>
        <v>S</v>
      </c>
      <c r="T2" s="307" t="str">
        <f t="shared" si="1"/>
        <v>T</v>
      </c>
      <c r="U2" s="307" t="str">
        <f t="shared" si="1"/>
        <v>U</v>
      </c>
      <c r="V2" s="312" t="str">
        <f t="shared" si="1"/>
        <v>V</v>
      </c>
      <c r="W2" s="310" t="str">
        <f t="shared" si="1"/>
        <v>W</v>
      </c>
      <c r="X2" s="311" t="str">
        <f t="shared" si="1"/>
        <v>X</v>
      </c>
      <c r="Y2" s="311" t="str">
        <f t="shared" si="1"/>
        <v>Y</v>
      </c>
      <c r="Z2" s="304" t="str">
        <f t="shared" si="1"/>
        <v>Z</v>
      </c>
      <c r="AC2" s="303" t="s">
        <v>210</v>
      </c>
      <c r="AD2" s="303" t="s">
        <v>8270</v>
      </c>
      <c r="AG2" s="303" t="s">
        <v>213</v>
      </c>
      <c r="AH2" s="306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6" t="s">
        <v>51</v>
      </c>
    </row>
    <row r="4" spans="1:34">
      <c r="AC4" s="303" t="s">
        <v>134</v>
      </c>
      <c r="AD4" s="303" t="s">
        <v>8271</v>
      </c>
      <c r="AG4" s="303" t="s">
        <v>8275</v>
      </c>
      <c r="AH4" s="306" t="s">
        <v>52</v>
      </c>
    </row>
    <row r="5" spans="1:34"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C7" s="303" t="s">
        <v>40</v>
      </c>
      <c r="AD7" s="303" t="s">
        <v>40</v>
      </c>
    </row>
    <row r="8" spans="1:34">
      <c r="A8" s="303">
        <v>97</v>
      </c>
      <c r="B8" s="303">
        <f>A8+1</f>
        <v>98</v>
      </c>
      <c r="C8" s="303">
        <f t="shared" ref="C8:Z9" si="2">B8+1</f>
        <v>99</v>
      </c>
      <c r="D8" s="303">
        <f t="shared" si="2"/>
        <v>100</v>
      </c>
      <c r="E8" s="303">
        <f t="shared" si="2"/>
        <v>101</v>
      </c>
      <c r="F8" s="303">
        <f t="shared" si="2"/>
        <v>102</v>
      </c>
      <c r="G8" s="303">
        <f t="shared" si="2"/>
        <v>103</v>
      </c>
      <c r="H8" s="303">
        <f t="shared" si="2"/>
        <v>104</v>
      </c>
      <c r="I8" s="303">
        <f t="shared" si="2"/>
        <v>105</v>
      </c>
      <c r="J8" s="303">
        <f t="shared" si="2"/>
        <v>106</v>
      </c>
      <c r="K8" s="303">
        <f t="shared" si="2"/>
        <v>107</v>
      </c>
      <c r="L8" s="303">
        <f t="shared" si="2"/>
        <v>108</v>
      </c>
      <c r="M8" s="303">
        <f t="shared" si="2"/>
        <v>109</v>
      </c>
      <c r="N8" s="303">
        <f t="shared" si="2"/>
        <v>110</v>
      </c>
      <c r="O8" s="303">
        <f t="shared" si="2"/>
        <v>111</v>
      </c>
      <c r="P8" s="303">
        <f t="shared" si="2"/>
        <v>112</v>
      </c>
      <c r="Q8" s="303">
        <f t="shared" si="2"/>
        <v>113</v>
      </c>
      <c r="R8" s="303">
        <f t="shared" si="2"/>
        <v>114</v>
      </c>
      <c r="S8" s="303">
        <f t="shared" si="2"/>
        <v>115</v>
      </c>
      <c r="T8" s="303">
        <f t="shared" si="2"/>
        <v>116</v>
      </c>
      <c r="U8" s="303">
        <f t="shared" si="2"/>
        <v>117</v>
      </c>
      <c r="V8" s="303">
        <f t="shared" si="2"/>
        <v>118</v>
      </c>
      <c r="W8" s="303">
        <f t="shared" si="2"/>
        <v>119</v>
      </c>
      <c r="X8" s="303">
        <f t="shared" si="2"/>
        <v>120</v>
      </c>
      <c r="Y8" s="303">
        <f t="shared" si="2"/>
        <v>121</v>
      </c>
      <c r="Z8" s="303">
        <f t="shared" si="2"/>
        <v>122</v>
      </c>
      <c r="AC8" s="303" t="s">
        <v>218</v>
      </c>
      <c r="AD8" s="303" t="s">
        <v>8273</v>
      </c>
    </row>
    <row r="9" spans="1:34">
      <c r="A9" s="303">
        <v>65</v>
      </c>
      <c r="B9" s="303">
        <f>A9+1</f>
        <v>66</v>
      </c>
      <c r="C9" s="303">
        <f t="shared" si="2"/>
        <v>67</v>
      </c>
      <c r="D9" s="303">
        <f t="shared" si="2"/>
        <v>68</v>
      </c>
      <c r="E9" s="303">
        <f t="shared" si="2"/>
        <v>69</v>
      </c>
      <c r="F9" s="303">
        <f t="shared" si="2"/>
        <v>70</v>
      </c>
      <c r="G9" s="303">
        <f t="shared" si="2"/>
        <v>71</v>
      </c>
      <c r="H9" s="303">
        <f t="shared" si="2"/>
        <v>72</v>
      </c>
      <c r="I9" s="303">
        <f t="shared" si="2"/>
        <v>73</v>
      </c>
      <c r="J9" s="303">
        <f t="shared" si="2"/>
        <v>74</v>
      </c>
      <c r="K9" s="303">
        <f t="shared" si="2"/>
        <v>75</v>
      </c>
      <c r="L9" s="303">
        <f t="shared" si="2"/>
        <v>76</v>
      </c>
      <c r="M9" s="303">
        <f t="shared" si="2"/>
        <v>77</v>
      </c>
      <c r="N9" s="303">
        <f t="shared" si="2"/>
        <v>78</v>
      </c>
      <c r="O9" s="303">
        <f t="shared" si="2"/>
        <v>79</v>
      </c>
      <c r="P9" s="303">
        <f t="shared" si="2"/>
        <v>80</v>
      </c>
      <c r="Q9" s="303">
        <f t="shared" si="2"/>
        <v>81</v>
      </c>
      <c r="R9" s="303">
        <f t="shared" si="2"/>
        <v>82</v>
      </c>
      <c r="S9" s="303">
        <f t="shared" si="2"/>
        <v>83</v>
      </c>
      <c r="T9" s="303">
        <f t="shared" si="2"/>
        <v>84</v>
      </c>
      <c r="U9" s="303">
        <f t="shared" si="2"/>
        <v>85</v>
      </c>
      <c r="V9" s="303">
        <f t="shared" si="2"/>
        <v>86</v>
      </c>
      <c r="W9" s="303">
        <f t="shared" si="2"/>
        <v>87</v>
      </c>
      <c r="X9" s="303">
        <f t="shared" si="2"/>
        <v>88</v>
      </c>
      <c r="Y9" s="303">
        <f t="shared" si="2"/>
        <v>89</v>
      </c>
      <c r="Z9" s="303">
        <f t="shared" si="2"/>
        <v>90</v>
      </c>
      <c r="AC9" s="303" t="s">
        <v>45</v>
      </c>
      <c r="AD9" s="303" t="s">
        <v>44</v>
      </c>
    </row>
    <row r="10" spans="1:34">
      <c r="AC10" s="303" t="s">
        <v>207</v>
      </c>
      <c r="AD10" s="303" t="s">
        <v>8269</v>
      </c>
    </row>
    <row r="11" spans="1:34">
      <c r="AC11" s="303" t="s">
        <v>42</v>
      </c>
      <c r="AD11" s="303" t="s">
        <v>42</v>
      </c>
    </row>
    <row r="12" spans="1:34">
      <c r="AC12" s="303" t="s">
        <v>252</v>
      </c>
      <c r="AD12" s="303" t="s">
        <v>8274</v>
      </c>
    </row>
    <row r="13" spans="1:34">
      <c r="AC13" s="303" t="s">
        <v>215</v>
      </c>
      <c r="AD13" s="303" t="s">
        <v>46</v>
      </c>
    </row>
    <row r="14" spans="1:34">
      <c r="AC14" s="303" t="s">
        <v>216</v>
      </c>
      <c r="AD14" s="303" t="s">
        <v>8277</v>
      </c>
    </row>
    <row r="15" spans="1:34">
      <c r="AC15" s="303" t="s">
        <v>198</v>
      </c>
      <c r="AD15" s="303" t="s">
        <v>8276</v>
      </c>
    </row>
    <row r="16" spans="1:34"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</sheetViews>
  <sheetFormatPr defaultRowHeight="21"/>
  <sheetData>
    <row r="4" spans="2:12">
      <c r="B4" s="435" t="s">
        <v>323</v>
      </c>
      <c r="C4" s="435" t="s">
        <v>325</v>
      </c>
      <c r="D4" s="435"/>
      <c r="E4" s="94" t="s">
        <v>354</v>
      </c>
      <c r="F4" s="95"/>
      <c r="G4" s="96"/>
      <c r="H4" s="436" t="s">
        <v>355</v>
      </c>
      <c r="I4" s="438"/>
      <c r="J4" s="438"/>
      <c r="K4" s="438"/>
      <c r="L4" s="437"/>
    </row>
    <row r="5" spans="2:12">
      <c r="B5" s="435"/>
      <c r="C5" s="435"/>
      <c r="D5" s="435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36" t="s">
        <v>359</v>
      </c>
      <c r="L5" s="437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38" t="s">
        <v>8285</v>
      </c>
      <c r="AG3" s="339"/>
      <c r="AH3" s="336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38" t="s">
        <v>8286</v>
      </c>
      <c r="AG4" s="340"/>
      <c r="AH4" s="337" t="s">
        <v>8287</v>
      </c>
      <c r="AI4" s="327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33"/>
      <c r="Z6" s="434"/>
      <c r="AA6" s="27"/>
      <c r="AB6" s="112"/>
      <c r="AC6" s="113"/>
      <c r="AD6" s="115"/>
      <c r="AE6" s="112"/>
      <c r="AF6" s="116"/>
      <c r="AG6" s="338"/>
      <c r="AH6" s="339"/>
      <c r="AI6" s="116"/>
      <c r="AJ6" s="338"/>
      <c r="AK6" s="339"/>
      <c r="AL6" s="116"/>
      <c r="AM6" s="338"/>
      <c r="AN6" s="339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38" t="s">
        <v>8295</v>
      </c>
      <c r="AH7" s="340"/>
      <c r="AI7" s="337"/>
      <c r="AJ7" s="338" t="s">
        <v>8294</v>
      </c>
      <c r="AK7" s="340"/>
      <c r="AL7" s="337" t="s">
        <v>8288</v>
      </c>
      <c r="AM7" s="341" t="s">
        <v>8289</v>
      </c>
      <c r="AN7" s="340"/>
      <c r="AO7" s="337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31"/>
      <c r="AD9" s="432"/>
      <c r="AE9" s="338"/>
      <c r="AF9" s="339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38" t="s">
        <v>8290</v>
      </c>
      <c r="AF10" s="340"/>
      <c r="AG10" s="337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38"/>
      <c r="AG12" s="339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41" t="s">
        <v>8292</v>
      </c>
      <c r="AD13" s="340"/>
      <c r="AE13" s="337"/>
      <c r="AF13" s="341" t="s">
        <v>8291</v>
      </c>
      <c r="AG13" s="340"/>
      <c r="AH13" s="337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2025-10-24T17:28:04Z</dcterms:modified>
</cp:coreProperties>
</file>