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home\alanjui\workspace\rime\rime-tlpa\docs\"/>
    </mc:Choice>
  </mc:AlternateContent>
  <xr:revisionPtr revIDLastSave="0" documentId="13_ncr:1_{115E0AD4-EFFB-4267-A0A3-1E8F3AFACA29}" xr6:coauthVersionLast="47" xr6:coauthVersionMax="47" xr10:uidLastSave="{00000000-0000-0000-0000-000000000000}"/>
  <bookViews>
    <workbookView xWindow="-28920" yWindow="-120" windowWidth="29040" windowHeight="15720" tabRatio="762" xr2:uid="{E87E5C8B-EACA-42E9-8621-62DDB8F02212}"/>
  </bookViews>
  <sheets>
    <sheet name="注音編碼對照表" sheetId="12" r:id="rId1"/>
    <sheet name="使用按鍵解析" sheetId="9" r:id="rId2"/>
    <sheet name="RIME設定解析" sheetId="10" r:id="rId3"/>
    <sheet name="注音符號表" sheetId="20" r:id="rId4"/>
    <sheet name="注音符號按鍵" sheetId="17" r:id="rId5"/>
    <sheet name="RIME對映編碼 (台語方音)" sheetId="1" r:id="rId6"/>
    <sheet name="方音符號音節表" sheetId="21" r:id="rId7"/>
    <sheet name="方音聲母" sheetId="13" r:id="rId8"/>
    <sheet name="方音韻母" sheetId="14" r:id="rId9"/>
  </sheets>
  <externalReferences>
    <externalReference r:id="rId10"/>
    <externalReference r:id="rId11"/>
  </externalReferences>
  <definedNames>
    <definedName name="_xlnm._FilterDatabase" localSheetId="2" hidden="1">RIME設定解析!$Z$2:$AE$58</definedName>
    <definedName name="方音符號" localSheetId="2">RIME設定解析!$W$3:$W$54</definedName>
    <definedName name="方音符號" localSheetId="5">'RIME對映編碼 (台語方音)'!$U$3:$U$44</definedName>
    <definedName name="方音符號" localSheetId="4">#REF!</definedName>
    <definedName name="方音符號">[1]RIME編碼!$AA$3:$AA$45</definedName>
    <definedName name="字典編碼" localSheetId="4">#REF!</definedName>
    <definedName name="字典編碼">[1]RIME編碼!$AB$3:$AB$45</definedName>
    <definedName name="注音符號" localSheetId="2">RIME設定解析!$W$3:$W$54</definedName>
    <definedName name="注音符號">#REF!</definedName>
    <definedName name="注音編碼" localSheetId="2">RIME設定解析!$V$3:$V$54</definedName>
    <definedName name="注音編碼" localSheetId="1">[2]RIME設定解析!$W$3:$W$54</definedName>
    <definedName name="注音編碼">#REF!</definedName>
    <definedName name="拼音字母" localSheetId="2">RIME設定解析!$X$3:$X$54</definedName>
    <definedName name="拼音字母" localSheetId="5">'RIME對映編碼 (台語方音)'!#REF!</definedName>
    <definedName name="拼音字母" localSheetId="4">#REF!</definedName>
    <definedName name="拼音字母">[1]RIME編碼!$AC$3:$AC$45</definedName>
    <definedName name="按鍵編碼" localSheetId="2">RIME設定解析!$V$3:$V$54</definedName>
    <definedName name="按鍵編碼" localSheetId="5">'RIME對映編碼 (台語方音)'!$T$3:$T$44</definedName>
    <definedName name="國際音標" localSheetId="5">'RIME對映編碼 (台語方音)'!#REF!</definedName>
    <definedName name="鍵盤位置" localSheetId="2">RIME設定解析!$U$3:$U$54</definedName>
    <definedName name="鍵盤位置" localSheetId="5">'RIME對映編碼 (台語方音)'!$S$3:$S$44</definedName>
    <definedName name="鍵盤位置" localSheetId="4">#REF!</definedName>
    <definedName name="鍵盤位置">[1]RIME編碼!$W$3:$W$40</definedName>
    <definedName name="鍵盤按鍵" localSheetId="2">RIME設定解析!$U$3:$U$54</definedName>
    <definedName name="鍵盤按鍵" localSheetId="1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6" i="12" l="1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M3" i="10" l="1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K63" i="17"/>
  <c r="BK62" i="17"/>
  <c r="BK61" i="17"/>
  <c r="BK60" i="17"/>
  <c r="BK59" i="17"/>
  <c r="BK58" i="17"/>
  <c r="BK57" i="17"/>
  <c r="BK56" i="17"/>
  <c r="BN55" i="17"/>
  <c r="BL55" i="17"/>
  <c r="BK55" i="17"/>
  <c r="BI55" i="17"/>
  <c r="BN54" i="17"/>
  <c r="BL54" i="17"/>
  <c r="BK54" i="17"/>
  <c r="BI54" i="17"/>
  <c r="BN53" i="17"/>
  <c r="BL53" i="17"/>
  <c r="BK53" i="17"/>
  <c r="BI53" i="17"/>
  <c r="BN52" i="17"/>
  <c r="BL52" i="17"/>
  <c r="BK52" i="17"/>
  <c r="BI52" i="17"/>
  <c r="BN51" i="17"/>
  <c r="BL51" i="17"/>
  <c r="BI51" i="17"/>
  <c r="BB50" i="17"/>
  <c r="BA50" i="17"/>
  <c r="BK51" i="17" s="1"/>
  <c r="BB49" i="17"/>
  <c r="BA49" i="17"/>
  <c r="BK50" i="17" s="1"/>
  <c r="BB48" i="17"/>
  <c r="BA48" i="17"/>
  <c r="BK49" i="17" s="1"/>
  <c r="BK47" i="17"/>
  <c r="BB47" i="17"/>
  <c r="BA47" i="17"/>
  <c r="BK48" i="17" s="1"/>
  <c r="BB46" i="17"/>
  <c r="BA46" i="17"/>
  <c r="BA45" i="17"/>
  <c r="BK46" i="17" s="1"/>
  <c r="BB44" i="17"/>
  <c r="BD44" i="17" s="1" a="1"/>
  <c r="BD44" i="17" s="1"/>
  <c r="BA44" i="17"/>
  <c r="BK45" i="17" s="1"/>
  <c r="BB43" i="17"/>
  <c r="BD43" i="17" s="1" a="1"/>
  <c r="BD43" i="17" s="1"/>
  <c r="BA43" i="17"/>
  <c r="BK44" i="17" s="1"/>
  <c r="BB42" i="17"/>
  <c r="BA42" i="17"/>
  <c r="BK43" i="17" s="1"/>
  <c r="BB41" i="17"/>
  <c r="BA41" i="17"/>
  <c r="BK42" i="17" s="1"/>
  <c r="BB40" i="17"/>
  <c r="BA40" i="17"/>
  <c r="BK41" i="17" s="1"/>
  <c r="BB39" i="17"/>
  <c r="BA39" i="17"/>
  <c r="BK40" i="17" s="1"/>
  <c r="BB38" i="17"/>
  <c r="BA38" i="17"/>
  <c r="BK39" i="17" s="1"/>
  <c r="BB37" i="17"/>
  <c r="BD37" i="17" s="1" a="1"/>
  <c r="BD37" i="17" s="1"/>
  <c r="BA37" i="17"/>
  <c r="BK38" i="17" s="1"/>
  <c r="BB36" i="17"/>
  <c r="BA36" i="17"/>
  <c r="BK37" i="17" s="1"/>
  <c r="BB35" i="17"/>
  <c r="BD35" i="17" s="1" a="1"/>
  <c r="BD35" i="17" s="1"/>
  <c r="BA35" i="17"/>
  <c r="BK36" i="17" s="1"/>
  <c r="BB34" i="17"/>
  <c r="BD34" i="17" s="1" a="1"/>
  <c r="BD34" i="17" s="1"/>
  <c r="BA34" i="17"/>
  <c r="BK35" i="17" s="1"/>
  <c r="BB33" i="17"/>
  <c r="BA33" i="17"/>
  <c r="BK34" i="17" s="1"/>
  <c r="BB32" i="17"/>
  <c r="BA32" i="17"/>
  <c r="BK33" i="17" s="1"/>
  <c r="BB31" i="17"/>
  <c r="BD31" i="17" s="1" a="1"/>
  <c r="BD31" i="17" s="1"/>
  <c r="BA31" i="17"/>
  <c r="BK32" i="17" s="1"/>
  <c r="BB30" i="17"/>
  <c r="BA30" i="17"/>
  <c r="BK31" i="17" s="1"/>
  <c r="BB29" i="17"/>
  <c r="BD29" i="17" s="1" a="1"/>
  <c r="BD29" i="17" s="1"/>
  <c r="BA29" i="17"/>
  <c r="BK30" i="17" s="1"/>
  <c r="BB28" i="17"/>
  <c r="BD28" i="17" s="1" a="1"/>
  <c r="BD28" i="17" s="1"/>
  <c r="BA28" i="17"/>
  <c r="BK29" i="17" s="1"/>
  <c r="BB27" i="17"/>
  <c r="BA27" i="17"/>
  <c r="BK28" i="17" s="1"/>
  <c r="BB26" i="17"/>
  <c r="BD26" i="17" s="1" a="1"/>
  <c r="BD26" i="17" s="1"/>
  <c r="BA26" i="17"/>
  <c r="BK27" i="17" s="1"/>
  <c r="BB25" i="17"/>
  <c r="BD25" i="17" s="1" a="1"/>
  <c r="BD25" i="17" s="1"/>
  <c r="BA25" i="17"/>
  <c r="BK26" i="17" s="1"/>
  <c r="BB24" i="17"/>
  <c r="BD24" i="17" s="1" a="1"/>
  <c r="BD24" i="17" s="1"/>
  <c r="BA24" i="17"/>
  <c r="BK25" i="17" s="1"/>
  <c r="BB23" i="17"/>
  <c r="BD23" i="17" s="1" a="1"/>
  <c r="BD23" i="17" s="1"/>
  <c r="BA23" i="17"/>
  <c r="BK24" i="17" s="1"/>
  <c r="BB22" i="17"/>
  <c r="BD22" i="17" s="1" a="1"/>
  <c r="BD22" i="17" s="1"/>
  <c r="BA22" i="17"/>
  <c r="BK22" i="17" s="1"/>
  <c r="BB21" i="17"/>
  <c r="BA21" i="17"/>
  <c r="BK21" i="17" s="1"/>
  <c r="BB20" i="17"/>
  <c r="BD20" i="17" s="1" a="1"/>
  <c r="BD20" i="17" s="1"/>
  <c r="BA20" i="17"/>
  <c r="BK20" i="17" s="1"/>
  <c r="BB19" i="17"/>
  <c r="BA19" i="17"/>
  <c r="BK19" i="17" s="1"/>
  <c r="BB18" i="17"/>
  <c r="BD18" i="17" s="1" a="1"/>
  <c r="BD18" i="17" s="1"/>
  <c r="BA18" i="17"/>
  <c r="BK18" i="17" s="1"/>
  <c r="BB17" i="17"/>
  <c r="BD17" i="17" s="1" a="1"/>
  <c r="BD17" i="17" s="1"/>
  <c r="BA17" i="17"/>
  <c r="BK17" i="17" s="1"/>
  <c r="BB16" i="17"/>
  <c r="BD16" i="17" s="1" a="1"/>
  <c r="BD16" i="17" s="1"/>
  <c r="BA16" i="17"/>
  <c r="BK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B15" i="17"/>
  <c r="BD15" i="17" s="1" a="1"/>
  <c r="BD15" i="17" s="1"/>
  <c r="BA15" i="17"/>
  <c r="BK15" i="17" s="1"/>
  <c r="BB14" i="17"/>
  <c r="BA14" i="17"/>
  <c r="BK14" i="17" s="1"/>
  <c r="BB13" i="17"/>
  <c r="BA13" i="17"/>
  <c r="BK13" i="17" s="1"/>
  <c r="BB12" i="17"/>
  <c r="BA12" i="17"/>
  <c r="BK12" i="17" s="1"/>
  <c r="BB11" i="17"/>
  <c r="BA11" i="17"/>
  <c r="BK11" i="17" s="1"/>
  <c r="BB10" i="17"/>
  <c r="BA10" i="17"/>
  <c r="BK10" i="17" s="1"/>
  <c r="BB9" i="17"/>
  <c r="BD9" i="17" s="1" a="1"/>
  <c r="BD9" i="17" s="1"/>
  <c r="BA9" i="17"/>
  <c r="BK9" i="17" s="1"/>
  <c r="BB8" i="17"/>
  <c r="BD8" i="17" s="1" a="1"/>
  <c r="BD8" i="17" s="1"/>
  <c r="BA8" i="17"/>
  <c r="BK8" i="17" s="1"/>
  <c r="BB7" i="17"/>
  <c r="BA7" i="17"/>
  <c r="BK7" i="17" s="1"/>
  <c r="BB6" i="17"/>
  <c r="BD6" i="17" s="1" a="1"/>
  <c r="BD6" i="17" s="1"/>
  <c r="BA6" i="17"/>
  <c r="BK6" i="17" s="1"/>
  <c r="BB5" i="17"/>
  <c r="BA5" i="17"/>
  <c r="BK5" i="17" s="1"/>
  <c r="BB4" i="17"/>
  <c r="BA4" i="17"/>
  <c r="BK4" i="17" s="1"/>
  <c r="H22" i="12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30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Y17" i="17" a="1"/>
  <c r="J17" i="17" a="1"/>
  <c r="AQ17" i="17" a="1"/>
  <c r="AI17" i="17" a="1"/>
  <c r="AP17" i="17" a="1"/>
  <c r="AL17" i="17" a="1"/>
  <c r="AF17" i="17" a="1"/>
  <c r="Q17" i="17" a="1"/>
  <c r="AH17" i="17" a="1"/>
  <c r="P17" i="17" a="1"/>
  <c r="AU17" i="17" a="1"/>
  <c r="I17" i="17" a="1"/>
  <c r="N17" i="17" a="1"/>
  <c r="AW17" i="17" a="1"/>
  <c r="AD17" i="17" a="1"/>
  <c r="AX17" i="17" a="1"/>
  <c r="U17" i="17" a="1"/>
  <c r="G17" i="17" a="1"/>
  <c r="R17" i="17" a="1"/>
  <c r="AO17" i="17" a="1"/>
  <c r="AE17" i="17" a="1"/>
  <c r="F17" i="17" a="1"/>
  <c r="Z17" i="17" a="1"/>
  <c r="L17" i="17" a="1"/>
  <c r="AK17" i="17" a="1"/>
  <c r="T17" i="17" a="1"/>
  <c r="AT17" i="17" a="1"/>
  <c r="X17" i="17" a="1"/>
  <c r="H17" i="17" a="1"/>
  <c r="W17" i="17" a="1"/>
  <c r="AG17" i="17" a="1"/>
  <c r="V17" i="17" a="1"/>
  <c r="K17" i="17" a="1"/>
  <c r="AC17" i="17" a="1"/>
  <c r="AB17" i="17" a="1"/>
  <c r="AR17" i="17" a="1"/>
  <c r="AV17" i="17" a="1"/>
  <c r="S17" i="17" a="1"/>
  <c r="O17" i="17" a="1"/>
  <c r="AJ17" i="17" a="1"/>
  <c r="M17" i="17" a="1"/>
  <c r="AN17" i="17" a="1"/>
  <c r="E17" i="17" a="1"/>
  <c r="AA17" i="17" a="1"/>
  <c r="AM17" i="17" a="1"/>
  <c r="D17" i="17" a="1"/>
  <c r="DE14" i="10" l="1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C40" i="17" a="1"/>
  <c r="BC40" i="17" s="1"/>
  <c r="BI40" i="17" s="1"/>
  <c r="BD40" i="17" a="1"/>
  <c r="BD40" i="17" s="1"/>
  <c r="BF4" i="17" a="1"/>
  <c r="BF4" i="17" s="1"/>
  <c r="BD4" i="17" a="1"/>
  <c r="BD4" i="17" s="1"/>
  <c r="BF10" i="17" a="1"/>
  <c r="BF10" i="17" s="1"/>
  <c r="BD10" i="17" a="1"/>
  <c r="BD10" i="17" s="1"/>
  <c r="BE41" i="17" a="1"/>
  <c r="BE41" i="17" s="1"/>
  <c r="BL41" i="17" s="1"/>
  <c r="BD41" i="17" a="1"/>
  <c r="BD41" i="17" s="1"/>
  <c r="BE5" i="17" a="1"/>
  <c r="BE5" i="17" s="1"/>
  <c r="BL5" i="17" s="1"/>
  <c r="BD5" i="17" a="1"/>
  <c r="BD5" i="17" s="1"/>
  <c r="BC11" i="17" a="1"/>
  <c r="BC11" i="17" s="1"/>
  <c r="BN11" i="17" s="1"/>
  <c r="BD11" i="17" a="1"/>
  <c r="BD11" i="17" s="1"/>
  <c r="BF30" i="17" a="1"/>
  <c r="BF30" i="17" s="1"/>
  <c r="BD30" i="17" a="1"/>
  <c r="BD30" i="17" s="1"/>
  <c r="BF36" i="17" a="1"/>
  <c r="BF36" i="17" s="1"/>
  <c r="BD36" i="17" a="1"/>
  <c r="BD36" i="17" s="1"/>
  <c r="BF42" i="17" a="1"/>
  <c r="BF42" i="17" s="1"/>
  <c r="BD42" i="17" a="1"/>
  <c r="BD42" i="17" s="1"/>
  <c r="BF12" i="17" a="1"/>
  <c r="BF12" i="17" s="1"/>
  <c r="BD12" i="17" a="1"/>
  <c r="BD12" i="17" s="1"/>
  <c r="BE19" i="17" a="1"/>
  <c r="BE19" i="17" s="1"/>
  <c r="BL19" i="17" s="1"/>
  <c r="BD19" i="17" a="1"/>
  <c r="BD19" i="17" s="1"/>
  <c r="BE7" i="17" a="1"/>
  <c r="BE7" i="17" s="1"/>
  <c r="BL7" i="17" s="1"/>
  <c r="BD7" i="17" a="1"/>
  <c r="BD7" i="17" s="1"/>
  <c r="BE13" i="17" a="1"/>
  <c r="BE13" i="17" s="1"/>
  <c r="BL13" i="17" s="1"/>
  <c r="BD13" i="17" a="1"/>
  <c r="BD13" i="17" s="1"/>
  <c r="BF32" i="17" a="1"/>
  <c r="BF32" i="17" s="1"/>
  <c r="BD32" i="17" a="1"/>
  <c r="BD32" i="17" s="1"/>
  <c r="BE38" i="17" a="1"/>
  <c r="BE38" i="17" s="1"/>
  <c r="BL38" i="17" s="1"/>
  <c r="BD38" i="17" a="1"/>
  <c r="BD38" i="17" s="1"/>
  <c r="BC14" i="17" a="1"/>
  <c r="BC14" i="17" s="1"/>
  <c r="BD14" i="17" a="1"/>
  <c r="BD14" i="17" s="1"/>
  <c r="BF21" i="17" a="1"/>
  <c r="BF21" i="17" s="1"/>
  <c r="BD21" i="17" a="1"/>
  <c r="BD21" i="17" s="1"/>
  <c r="BF27" i="17" a="1"/>
  <c r="BF27" i="17" s="1"/>
  <c r="BD27" i="17" a="1"/>
  <c r="BD27" i="17" s="1"/>
  <c r="BF33" i="17" a="1"/>
  <c r="BF33" i="17" s="1"/>
  <c r="BD33" i="17" a="1"/>
  <c r="BD33" i="17" s="1"/>
  <c r="BF39" i="17" a="1"/>
  <c r="BF39" i="17" s="1"/>
  <c r="BD39" i="17" a="1"/>
  <c r="BD39" i="17" s="1"/>
  <c r="BC7" i="17" a="1"/>
  <c r="BC7" i="17" s="1"/>
  <c r="BI7" i="17" s="1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F8" i="17" a="1"/>
  <c r="BF8" i="17" s="1"/>
  <c r="BE4" i="17" a="1"/>
  <c r="BE4" i="17" s="1"/>
  <c r="BL4" i="17" s="1"/>
  <c r="BF38" i="17" a="1"/>
  <c r="BF38" i="17" s="1"/>
  <c r="BE12" i="17" a="1"/>
  <c r="BE12" i="17" s="1"/>
  <c r="BL12" i="17" s="1"/>
  <c r="BC35" i="17" a="1"/>
  <c r="BC35" i="17" s="1"/>
  <c r="BN35" i="17" s="1"/>
  <c r="BF9" i="17" a="1"/>
  <c r="BF9" i="17" s="1"/>
  <c r="BC17" i="17" a="1"/>
  <c r="BC17" i="17" s="1"/>
  <c r="BI17" i="17" s="1"/>
  <c r="BK23" i="17"/>
  <c r="BC21" i="17" a="1"/>
  <c r="BC21" i="17" s="1"/>
  <c r="BN21" i="17" s="1"/>
  <c r="BF14" i="17" a="1"/>
  <c r="BF14" i="17" s="1"/>
  <c r="BC19" i="17" a="1"/>
  <c r="BC19" i="17" s="1"/>
  <c r="BI19" i="17" s="1"/>
  <c r="BE8" i="17" a="1"/>
  <c r="BE8" i="17" s="1"/>
  <c r="BL8" i="17" s="1"/>
  <c r="BC42" i="17" a="1"/>
  <c r="BC42" i="17" s="1"/>
  <c r="BI42" i="17" s="1"/>
  <c r="BC9" i="17" a="1"/>
  <c r="BC9" i="17" s="1"/>
  <c r="BI9" i="17" s="1"/>
  <c r="BC30" i="17" a="1"/>
  <c r="BC30" i="17" s="1"/>
  <c r="BI30" i="17" s="1"/>
  <c r="BE42" i="17" a="1"/>
  <c r="BE42" i="17" s="1"/>
  <c r="BL42" i="17" s="1"/>
  <c r="BF7" i="17" a="1"/>
  <c r="BF7" i="17" s="1"/>
  <c r="BC28" i="17" a="1"/>
  <c r="BC28" i="17" s="1"/>
  <c r="BI28" i="17" s="1"/>
  <c r="BF19" i="17" a="1"/>
  <c r="BF19" i="17" s="1"/>
  <c r="BN40" i="17"/>
  <c r="BC16" i="17" a="1"/>
  <c r="BC16" i="17" s="1"/>
  <c r="BI16" i="17" s="1"/>
  <c r="BC18" i="17" a="1"/>
  <c r="BC18" i="17" s="1"/>
  <c r="BI18" i="17" s="1"/>
  <c r="BC20" i="17" a="1"/>
  <c r="BC20" i="17" s="1"/>
  <c r="BI20" i="17" s="1"/>
  <c r="BC22" i="17" a="1"/>
  <c r="BC22" i="17" s="1"/>
  <c r="BI22" i="17" s="1"/>
  <c r="BF25" i="17" a="1"/>
  <c r="BF25" i="17" s="1"/>
  <c r="BE28" i="17" a="1"/>
  <c r="BE28" i="17" s="1"/>
  <c r="BL28" i="17" s="1"/>
  <c r="BE30" i="17" a="1"/>
  <c r="BE30" i="17" s="1"/>
  <c r="BL30" i="17" s="1"/>
  <c r="BE40" i="17" a="1"/>
  <c r="BE40" i="17" s="1"/>
  <c r="BL40" i="17" s="1"/>
  <c r="BC5" i="17" a="1"/>
  <c r="BC5" i="17" s="1"/>
  <c r="BI5" i="17" s="1"/>
  <c r="BC10" i="17" a="1"/>
  <c r="BC10" i="17" s="1"/>
  <c r="BI10" i="17" s="1"/>
  <c r="BE16" i="17" a="1"/>
  <c r="BE16" i="17" s="1"/>
  <c r="BL16" i="17" s="1"/>
  <c r="BE18" i="17" a="1"/>
  <c r="BE18" i="17" s="1"/>
  <c r="BL18" i="17" s="1"/>
  <c r="BE20" i="17" a="1"/>
  <c r="BE20" i="17" s="1"/>
  <c r="BL20" i="17" s="1"/>
  <c r="BE22" i="17" a="1"/>
  <c r="BE22" i="17" s="1"/>
  <c r="BL22" i="17" s="1"/>
  <c r="BF28" i="17" a="1"/>
  <c r="BF28" i="17" s="1"/>
  <c r="BC38" i="17" a="1"/>
  <c r="BC38" i="17" s="1"/>
  <c r="BI38" i="17" s="1"/>
  <c r="BF40" i="17" a="1"/>
  <c r="BF40" i="17" s="1"/>
  <c r="BF5" i="17" a="1"/>
  <c r="BF5" i="17" s="1"/>
  <c r="BC8" i="17" a="1"/>
  <c r="BC8" i="17" s="1"/>
  <c r="BI8" i="17" s="1"/>
  <c r="BE10" i="17" a="1"/>
  <c r="BE10" i="17" s="1"/>
  <c r="BL10" i="17" s="1"/>
  <c r="BF18" i="17" a="1"/>
  <c r="BF18" i="17" s="1"/>
  <c r="BF20" i="17" a="1"/>
  <c r="BF20" i="17" s="1"/>
  <c r="BF22" i="17" a="1"/>
  <c r="BF22" i="17" s="1"/>
  <c r="BF16" i="17" a="1"/>
  <c r="BF16" i="17" s="1"/>
  <c r="BE14" i="17" a="1"/>
  <c r="BE14" i="17" s="1"/>
  <c r="BL14" i="17" s="1"/>
  <c r="BC23" i="17" a="1"/>
  <c r="BC23" i="17" s="1"/>
  <c r="BI23" i="17" s="1"/>
  <c r="BC29" i="17" a="1"/>
  <c r="BC29" i="17" s="1"/>
  <c r="BI29" i="17" s="1"/>
  <c r="BF41" i="17" a="1"/>
  <c r="BF41" i="17" s="1"/>
  <c r="BE29" i="17" a="1"/>
  <c r="BE29" i="17" s="1"/>
  <c r="BL29" i="17" s="1"/>
  <c r="BC39" i="17" a="1"/>
  <c r="BC39" i="17" s="1"/>
  <c r="BI39" i="17" s="1"/>
  <c r="BE17" i="17" a="1"/>
  <c r="BE17" i="17" s="1"/>
  <c r="BL17" i="17" s="1"/>
  <c r="BE21" i="17" a="1"/>
  <c r="BE21" i="17" s="1"/>
  <c r="BL21" i="17" s="1"/>
  <c r="BF29" i="17" a="1"/>
  <c r="BF29" i="17" s="1"/>
  <c r="BE39" i="17" a="1"/>
  <c r="BE39" i="17" s="1"/>
  <c r="BL39" i="17" s="1"/>
  <c r="BF17" i="17" a="1"/>
  <c r="BF17" i="17" s="1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AX17" i="17"/>
  <c r="S17" i="17"/>
  <c r="AH17" i="17"/>
  <c r="AN17" i="17"/>
  <c r="AR17" i="17"/>
  <c r="AT17" i="17"/>
  <c r="Y17" i="17"/>
  <c r="Z17" i="17"/>
  <c r="AU17" i="17"/>
  <c r="BF15" i="17" a="1"/>
  <c r="BF15" i="17" s="1"/>
  <c r="BE15" i="17" a="1"/>
  <c r="BE15" i="17" s="1"/>
  <c r="BL15" i="17" s="1"/>
  <c r="BC15" i="17" a="1"/>
  <c r="BC15" i="17" s="1"/>
  <c r="BI15" i="17" s="1"/>
  <c r="BF6" i="17" a="1"/>
  <c r="BF6" i="17" s="1"/>
  <c r="BE6" i="17" a="1"/>
  <c r="BE6" i="17" s="1"/>
  <c r="BL6" i="17" s="1"/>
  <c r="BC6" i="17" a="1"/>
  <c r="BC6" i="17" s="1"/>
  <c r="BN6" i="17" s="1"/>
  <c r="BF43" i="17" a="1"/>
  <c r="BF43" i="17" s="1"/>
  <c r="BE43" i="17" a="1"/>
  <c r="BE43" i="17" s="1"/>
  <c r="BL43" i="17" s="1"/>
  <c r="BE11" i="17" a="1"/>
  <c r="BE11" i="17" s="1"/>
  <c r="BL11" i="17" s="1"/>
  <c r="BF23" i="17" a="1"/>
  <c r="BF23" i="17" s="1"/>
  <c r="BE23" i="17" a="1"/>
  <c r="BE23" i="17" s="1"/>
  <c r="BL23" i="17" s="1"/>
  <c r="BI35" i="17"/>
  <c r="BF35" i="17" a="1"/>
  <c r="BF35" i="17" s="1"/>
  <c r="BE35" i="17" a="1"/>
  <c r="BE35" i="17" s="1"/>
  <c r="BL35" i="17" s="1"/>
  <c r="BC43" i="17" a="1"/>
  <c r="BC43" i="17" s="1"/>
  <c r="BI43" i="17" s="1"/>
  <c r="BC4" i="17" a="1"/>
  <c r="BC4" i="17" s="1"/>
  <c r="BI4" i="17" s="1"/>
  <c r="BF11" i="17" a="1"/>
  <c r="BF11" i="17" s="1"/>
  <c r="BC12" i="17" a="1"/>
  <c r="BC12" i="17" s="1"/>
  <c r="BI12" i="17" s="1"/>
  <c r="BF13" i="17" a="1"/>
  <c r="BF13" i="17" s="1"/>
  <c r="BC27" i="17" a="1"/>
  <c r="BC27" i="17" s="1"/>
  <c r="BN27" i="17" s="1"/>
  <c r="BC34" i="17" a="1"/>
  <c r="BC34" i="17" s="1"/>
  <c r="BI34" i="17" s="1"/>
  <c r="BF34" i="17" a="1"/>
  <c r="BF34" i="17" s="1"/>
  <c r="BE9" i="17" a="1"/>
  <c r="BE9" i="17" s="1"/>
  <c r="BL9" i="17" s="1"/>
  <c r="BI14" i="17"/>
  <c r="BC26" i="17" a="1"/>
  <c r="BC26" i="17" s="1"/>
  <c r="BN26" i="17" s="1"/>
  <c r="BF26" i="17" a="1"/>
  <c r="BF26" i="17" s="1"/>
  <c r="BE26" i="17" a="1"/>
  <c r="BE26" i="17" s="1"/>
  <c r="BL26" i="17" s="1"/>
  <c r="BE27" i="17" a="1"/>
  <c r="BE27" i="17" s="1"/>
  <c r="BL27" i="17" s="1"/>
  <c r="BC13" i="17" a="1"/>
  <c r="BC13" i="17" s="1"/>
  <c r="BN13" i="17" s="1"/>
  <c r="BE25" i="17" a="1"/>
  <c r="BE25" i="17" s="1"/>
  <c r="BL25" i="17" s="1"/>
  <c r="BC25" i="17" a="1"/>
  <c r="BC25" i="17" s="1"/>
  <c r="BN25" i="17" s="1"/>
  <c r="BE34" i="17" a="1"/>
  <c r="BE34" i="17" s="1"/>
  <c r="BL34" i="17" s="1"/>
  <c r="BF37" i="17" a="1"/>
  <c r="BF37" i="17" s="1"/>
  <c r="BE37" i="17" a="1"/>
  <c r="BE37" i="17" s="1"/>
  <c r="BL37" i="17" s="1"/>
  <c r="BN14" i="17"/>
  <c r="BE33" i="17" a="1"/>
  <c r="BE33" i="17" s="1"/>
  <c r="BL33" i="17" s="1"/>
  <c r="BC33" i="17" a="1"/>
  <c r="BC33" i="17" s="1"/>
  <c r="BN33" i="17" s="1"/>
  <c r="BC37" i="17" a="1"/>
  <c r="BC37" i="17" s="1"/>
  <c r="BN37" i="17" s="1"/>
  <c r="BF24" i="17" a="1"/>
  <c r="BF24" i="17" s="1"/>
  <c r="BE24" i="17" a="1"/>
  <c r="BE24" i="17" s="1"/>
  <c r="BL24" i="17" s="1"/>
  <c r="BC24" i="17" a="1"/>
  <c r="BC24" i="17" s="1"/>
  <c r="BN24" i="17" s="1"/>
  <c r="BC31" i="17" a="1"/>
  <c r="BC31" i="17" s="1"/>
  <c r="BN31" i="17" s="1"/>
  <c r="BC44" i="17" a="1"/>
  <c r="BC44" i="17" s="1"/>
  <c r="BN44" i="17" s="1"/>
  <c r="BC32" i="17" a="1"/>
  <c r="BC32" i="17" s="1"/>
  <c r="BI32" i="17" s="1"/>
  <c r="BC36" i="17" a="1"/>
  <c r="BC36" i="17" s="1"/>
  <c r="BI36" i="17" s="1"/>
  <c r="BE31" i="17" a="1"/>
  <c r="BE31" i="17" s="1"/>
  <c r="BL31" i="17" s="1"/>
  <c r="BC41" i="17" a="1"/>
  <c r="BC41" i="17" s="1"/>
  <c r="BN41" i="17" s="1"/>
  <c r="BE44" i="17" a="1"/>
  <c r="BE44" i="17" s="1"/>
  <c r="BL44" i="17" s="1"/>
  <c r="BF31" i="17" a="1"/>
  <c r="BF31" i="17" s="1"/>
  <c r="BE32" i="17" a="1"/>
  <c r="BE32" i="17" s="1"/>
  <c r="BL32" i="17" s="1"/>
  <c r="BE36" i="17" a="1"/>
  <c r="BE36" i="17" s="1"/>
  <c r="BL36" i="17" s="1"/>
  <c r="BF44" i="17" a="1"/>
  <c r="BF44" i="17" s="1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N7" i="17" l="1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F47" i="17" a="1"/>
  <c r="BF47" i="17" s="1"/>
  <c r="BN28" i="17"/>
  <c r="BN17" i="17"/>
  <c r="AC48" i="10" a="1"/>
  <c r="AC48" i="10" s="1"/>
  <c r="AK48" i="10" s="1"/>
  <c r="BI11" i="17"/>
  <c r="BD48" i="17" a="1"/>
  <c r="BD48" i="17" s="1"/>
  <c r="BD47" i="17" a="1"/>
  <c r="BD47" i="17" s="1"/>
  <c r="AC46" i="10" a="1"/>
  <c r="AC46" i="10" s="1"/>
  <c r="AK46" i="10" s="1"/>
  <c r="AC45" i="10" a="1"/>
  <c r="AC45" i="10" s="1"/>
  <c r="AK45" i="10" s="1"/>
  <c r="BD46" i="17" a="1"/>
  <c r="BD46" i="17" s="1"/>
  <c r="BD50" i="17" a="1"/>
  <c r="BD50" i="17" s="1"/>
  <c r="AC47" i="10" a="1"/>
  <c r="AC47" i="10" s="1"/>
  <c r="AK47" i="10" s="1"/>
  <c r="AC49" i="10" a="1"/>
  <c r="AC49" i="10" s="1"/>
  <c r="BD49" i="17" a="1"/>
  <c r="BD49" i="17" s="1"/>
  <c r="BN23" i="17"/>
  <c r="BN5" i="17"/>
  <c r="BN38" i="17"/>
  <c r="BN42" i="17"/>
  <c r="BN19" i="17"/>
  <c r="BN4" i="17"/>
  <c r="BN20" i="17"/>
  <c r="BI21" i="17"/>
  <c r="BE49" i="17" a="1"/>
  <c r="BE49" i="17" s="1"/>
  <c r="BL49" i="17" s="1"/>
  <c r="BN9" i="17"/>
  <c r="BE48" i="17" a="1"/>
  <c r="BE48" i="17" s="1"/>
  <c r="BL48" i="17" s="1"/>
  <c r="BN16" i="17"/>
  <c r="BN18" i="17"/>
  <c r="BF49" i="17" a="1"/>
  <c r="BF49" i="17" s="1"/>
  <c r="BF46" i="17" a="1"/>
  <c r="BF46" i="17" s="1"/>
  <c r="BI33" i="17"/>
  <c r="BC48" i="17" a="1"/>
  <c r="BC48" i="17" s="1"/>
  <c r="BI48" i="17" s="1"/>
  <c r="BF50" i="17" a="1"/>
  <c r="BF50" i="17" s="1"/>
  <c r="BC46" i="17" a="1"/>
  <c r="BC46" i="17" s="1"/>
  <c r="BC47" i="17" a="1"/>
  <c r="BC47" i="17" s="1"/>
  <c r="BI47" i="17" s="1"/>
  <c r="BN8" i="17"/>
  <c r="BF48" i="17" a="1"/>
  <c r="BF48" i="17" s="1"/>
  <c r="BC49" i="17" a="1"/>
  <c r="BC49" i="17" s="1"/>
  <c r="BE50" i="17" a="1"/>
  <c r="BE50" i="17" s="1"/>
  <c r="BL50" i="17" s="1"/>
  <c r="BE46" i="17" a="1"/>
  <c r="BE46" i="17" s="1"/>
  <c r="BL46" i="17" s="1"/>
  <c r="BN30" i="17"/>
  <c r="BE47" i="17" a="1"/>
  <c r="BE47" i="17" s="1"/>
  <c r="BL47" i="17" s="1"/>
  <c r="BC50" i="17" a="1"/>
  <c r="BC50" i="17" s="1"/>
  <c r="BB45" i="17"/>
  <c r="BD45" i="17" s="1" a="1"/>
  <c r="BD45" i="17" s="1"/>
  <c r="BN39" i="17"/>
  <c r="BN29" i="17"/>
  <c r="BN22" i="17"/>
  <c r="BI27" i="17"/>
  <c r="BI31" i="17"/>
  <c r="BN34" i="17"/>
  <c r="BI44" i="17"/>
  <c r="BN10" i="17"/>
  <c r="BI25" i="17"/>
  <c r="Z20" i="17" a="1"/>
  <c r="Z20" i="17" s="1"/>
  <c r="AB13" i="17" s="1"/>
  <c r="Z18" i="17" a="1"/>
  <c r="Z18" i="17" s="1"/>
  <c r="Z21" i="17" a="1"/>
  <c r="Z21" i="17" s="1"/>
  <c r="Z19" i="17" a="1"/>
  <c r="Z19" i="17" s="1"/>
  <c r="Z13" i="17" s="1"/>
  <c r="N21" i="17" a="1"/>
  <c r="N21" i="17" s="1"/>
  <c r="N18" i="17" a="1"/>
  <c r="N18" i="17" s="1"/>
  <c r="N20" i="17" a="1"/>
  <c r="N20" i="17" s="1"/>
  <c r="S13" i="17" s="1"/>
  <c r="N19" i="17" a="1"/>
  <c r="N19" i="17" s="1"/>
  <c r="Q13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I26" i="17"/>
  <c r="Y20" i="17" a="1"/>
  <c r="Y20" i="17" s="1"/>
  <c r="AA10" i="17" s="1"/>
  <c r="Y19" i="17" a="1"/>
  <c r="Y19" i="17" s="1"/>
  <c r="Y10" i="17" s="1"/>
  <c r="Y18" i="17" a="1"/>
  <c r="Y18" i="17" s="1"/>
  <c r="Y21" i="17" a="1"/>
  <c r="Y21" i="17" s="1"/>
  <c r="F20" i="17" a="1"/>
  <c r="F20" i="17" s="1"/>
  <c r="F18" i="17" a="1"/>
  <c r="F18" i="17" s="1"/>
  <c r="B3" i="17" s="1"/>
  <c r="F19" i="17" a="1"/>
  <c r="F19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Z7" i="17" s="1"/>
  <c r="X19" i="17" a="1"/>
  <c r="X19" i="17" s="1"/>
  <c r="X7" i="17" s="1"/>
  <c r="BN32" i="17"/>
  <c r="L21" i="17" a="1"/>
  <c r="L21" i="17" s="1"/>
  <c r="L18" i="17" a="1"/>
  <c r="L18" i="17" s="1"/>
  <c r="L20" i="17" a="1"/>
  <c r="L20" i="17" s="1"/>
  <c r="T7" i="17" s="1"/>
  <c r="L19" i="17" a="1"/>
  <c r="L19" i="17" s="1"/>
  <c r="R7" i="17" s="1"/>
  <c r="T19" i="17" a="1"/>
  <c r="T19" i="17" s="1"/>
  <c r="K13" i="17" s="1"/>
  <c r="T21" i="17" a="1"/>
  <c r="T21" i="17" s="1"/>
  <c r="T18" i="17" a="1"/>
  <c r="T18" i="17" s="1"/>
  <c r="T20" i="17" a="1"/>
  <c r="T20" i="17" s="1"/>
  <c r="M13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V9" i="17" s="1"/>
  <c r="AG20" i="17" a="1"/>
  <c r="AG20" i="17" s="1"/>
  <c r="X9" i="17" s="1"/>
  <c r="V21" i="17" a="1"/>
  <c r="V21" i="17" s="1"/>
  <c r="V18" i="17" a="1"/>
  <c r="V18" i="17" s="1"/>
  <c r="V20" i="17" a="1"/>
  <c r="V20" i="17" s="1"/>
  <c r="X10" i="17" s="1"/>
  <c r="V19" i="17" a="1"/>
  <c r="V19" i="17" s="1"/>
  <c r="V10" i="17" s="1"/>
  <c r="BN36" i="17"/>
  <c r="BI24" i="17"/>
  <c r="BN12" i="17"/>
  <c r="BI6" i="17"/>
  <c r="AR21" i="17" a="1"/>
  <c r="AR21" i="17" s="1"/>
  <c r="AR18" i="17" a="1"/>
  <c r="AR18" i="17" s="1"/>
  <c r="AR20" i="17" a="1"/>
  <c r="AR20" i="17" s="1"/>
  <c r="AE13" i="17" s="1"/>
  <c r="AR19" i="17" a="1"/>
  <c r="AR19" i="17" s="1"/>
  <c r="AC13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F13" i="17" s="1"/>
  <c r="AO21" i="17" a="1"/>
  <c r="AO21" i="17" s="1"/>
  <c r="AO18" i="17" a="1"/>
  <c r="AO18" i="17" s="1"/>
  <c r="AO20" i="17" a="1"/>
  <c r="AO20" i="17" s="1"/>
  <c r="AH13" i="17" s="1"/>
  <c r="AL20" i="17" a="1"/>
  <c r="AL20" i="17" s="1"/>
  <c r="AD9" i="17" s="1"/>
  <c r="AL19" i="17" a="1"/>
  <c r="AL19" i="17" s="1"/>
  <c r="AB9" i="17" s="1"/>
  <c r="AL21" i="17" a="1"/>
  <c r="AL21" i="17" s="1"/>
  <c r="AL18" i="17" a="1"/>
  <c r="AL18" i="17" s="1"/>
  <c r="BN15" i="17"/>
  <c r="AN19" i="17" a="1"/>
  <c r="AN19" i="17" s="1"/>
  <c r="AA7" i="17" s="1"/>
  <c r="AN21" i="17" a="1"/>
  <c r="AN21" i="17" s="1"/>
  <c r="AN18" i="17" a="1"/>
  <c r="AN18" i="17" s="1"/>
  <c r="AN20" i="17" a="1"/>
  <c r="AN20" i="17" s="1"/>
  <c r="AC7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4" i="17" s="1"/>
  <c r="W20" i="17" a="1"/>
  <c r="W20" i="17" s="1"/>
  <c r="Y4" i="17" s="1"/>
  <c r="AP19" i="17" a="1"/>
  <c r="AP19" i="17" s="1"/>
  <c r="AD7" i="17" s="1"/>
  <c r="AP21" i="17" a="1"/>
  <c r="AP21" i="17" s="1"/>
  <c r="AP18" i="17" a="1"/>
  <c r="AP18" i="17" s="1"/>
  <c r="AP20" i="17" a="1"/>
  <c r="AP20" i="17" s="1"/>
  <c r="BI37" i="17"/>
  <c r="AH21" i="17" a="1"/>
  <c r="AH21" i="17" s="1"/>
  <c r="AH18" i="17" a="1"/>
  <c r="AH18" i="17" s="1"/>
  <c r="AH20" i="17" a="1"/>
  <c r="AH20" i="17" s="1"/>
  <c r="Y3" i="17" s="1"/>
  <c r="AH19" i="17" a="1"/>
  <c r="AH19" i="17" s="1"/>
  <c r="W3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D10" i="17" s="1"/>
  <c r="AB19" i="17" a="1"/>
  <c r="AB19" i="17" s="1"/>
  <c r="AB10" i="17" s="1"/>
  <c r="AB21" i="17" a="1"/>
  <c r="AB21" i="17" s="1"/>
  <c r="AB18" i="17" a="1"/>
  <c r="AB18" i="17" s="1"/>
  <c r="AC19" i="17" a="1"/>
  <c r="AC19" i="17" s="1"/>
  <c r="AC4" i="17" s="1"/>
  <c r="AC21" i="17" a="1"/>
  <c r="AC21" i="17" s="1"/>
  <c r="AC18" i="17" a="1"/>
  <c r="AC18" i="17" s="1"/>
  <c r="AC20" i="17" a="1"/>
  <c r="AC20" i="17" s="1"/>
  <c r="AE4" i="17" s="1"/>
  <c r="BI41" i="17"/>
  <c r="BI13" i="17"/>
  <c r="S19" i="17" a="1"/>
  <c r="S19" i="17" s="1"/>
  <c r="P10" i="17" s="1"/>
  <c r="S21" i="17" a="1"/>
  <c r="S21" i="17" s="1"/>
  <c r="S18" i="17" a="1"/>
  <c r="S18" i="17" s="1"/>
  <c r="S20" i="17" a="1"/>
  <c r="S20" i="17" s="1"/>
  <c r="R10" i="17" s="1"/>
  <c r="AF21" i="17" a="1"/>
  <c r="AF21" i="17" s="1"/>
  <c r="AF18" i="17" a="1"/>
  <c r="AF18" i="17" s="1"/>
  <c r="AF20" i="17" a="1"/>
  <c r="AF20" i="17" s="1"/>
  <c r="W6" i="17" s="1"/>
  <c r="AF19" i="17" a="1"/>
  <c r="AF19" i="17" s="1"/>
  <c r="U6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U10" i="17" s="1"/>
  <c r="M19" i="17" a="1"/>
  <c r="M19" i="17" s="1"/>
  <c r="S10" i="17" s="1"/>
  <c r="P20" i="17" a="1"/>
  <c r="P20" i="17" s="1"/>
  <c r="K7" i="17" s="1"/>
  <c r="P18" i="17" a="1"/>
  <c r="P18" i="17" s="1"/>
  <c r="P19" i="17" a="1"/>
  <c r="P19" i="17" s="1"/>
  <c r="I7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B4" i="17" s="1"/>
  <c r="AA19" i="17" a="1"/>
  <c r="AA19" i="17" s="1"/>
  <c r="Z4" i="17" s="1"/>
  <c r="AA21" i="17" a="1"/>
  <c r="AA21" i="17" s="1"/>
  <c r="AA18" i="17" a="1"/>
  <c r="AA18" i="17" s="1"/>
  <c r="AE19" i="17" a="1"/>
  <c r="AE19" i="17" s="1"/>
  <c r="AF4" i="17" s="1"/>
  <c r="AE21" i="17" a="1"/>
  <c r="AE21" i="17" s="1"/>
  <c r="AE18" i="17" a="1"/>
  <c r="AE18" i="17" s="1"/>
  <c r="AE20" i="17" a="1"/>
  <c r="AE20" i="17" s="1"/>
  <c r="AH4" i="17" s="1"/>
  <c r="AJ20" i="17" a="1"/>
  <c r="AJ20" i="17" s="1"/>
  <c r="AB12" i="17" s="1"/>
  <c r="AJ19" i="17" a="1"/>
  <c r="AJ19" i="17" s="1"/>
  <c r="Z12" i="17" s="1"/>
  <c r="AJ18" i="17" a="1"/>
  <c r="AJ18" i="17" s="1"/>
  <c r="AJ21" i="17" a="1"/>
  <c r="AJ21" i="17" s="1"/>
  <c r="O20" i="17" a="1"/>
  <c r="O20" i="17" s="1"/>
  <c r="V13" i="17" s="1"/>
  <c r="O19" i="17" a="1"/>
  <c r="O19" i="17" s="1"/>
  <c r="T13" i="17" s="1"/>
  <c r="O18" i="17" a="1"/>
  <c r="O18" i="17" s="1"/>
  <c r="O21" i="17" a="1"/>
  <c r="O21" i="17" s="1"/>
  <c r="Q20" i="17" a="1"/>
  <c r="Q20" i="17" s="1"/>
  <c r="Q19" i="17" a="1"/>
  <c r="Q19" i="17" s="1"/>
  <c r="J10" i="17" s="1"/>
  <c r="Q21" i="17" a="1"/>
  <c r="Q21" i="17" s="1"/>
  <c r="Q18" i="17" a="1"/>
  <c r="Q18" i="17" s="1"/>
  <c r="BN43" i="17"/>
  <c r="R20" i="17" a="1"/>
  <c r="R20" i="17" s="1"/>
  <c r="K6" i="17" s="1"/>
  <c r="R19" i="17" a="1"/>
  <c r="R19" i="17" s="1"/>
  <c r="I6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7" i="17" s="1"/>
  <c r="U20" i="17" a="1"/>
  <c r="U20" i="17" s="1"/>
  <c r="W7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W12" i="17" s="1"/>
  <c r="AM21" i="17" a="1"/>
  <c r="AM21" i="17" s="1"/>
  <c r="AM18" i="17" a="1"/>
  <c r="AM18" i="17" s="1"/>
  <c r="AM20" i="17" a="1"/>
  <c r="AM20" i="17" s="1"/>
  <c r="Y12" i="17" s="1"/>
  <c r="AD19" i="17" a="1"/>
  <c r="AD19" i="17" s="1"/>
  <c r="AE10" i="17" s="1"/>
  <c r="AD20" i="17" a="1"/>
  <c r="AD20" i="17" s="1"/>
  <c r="AG10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4" i="12"/>
  <c r="B41" i="12"/>
  <c r="B43" i="12"/>
  <c r="B36" i="12"/>
  <c r="B35" i="12"/>
  <c r="B34" i="12"/>
  <c r="B33" i="12"/>
  <c r="B32" i="12"/>
  <c r="B31" i="12"/>
  <c r="B30" i="12"/>
  <c r="B37" i="12"/>
  <c r="B47" i="12"/>
  <c r="B40" i="12"/>
  <c r="B46" i="12"/>
  <c r="B39" i="12"/>
  <c r="B48" i="12"/>
  <c r="B42" i="12"/>
  <c r="B38" i="12"/>
  <c r="B29" i="12"/>
  <c r="B28" i="12"/>
  <c r="B27" i="12"/>
  <c r="B26" i="12"/>
  <c r="B45" i="12"/>
  <c r="B25" i="12"/>
  <c r="B24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S17" i="17" a="1"/>
  <c r="AK49" i="10" l="1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W19" i="17" a="1"/>
  <c r="AW19" i="17" s="1"/>
  <c r="N4" i="17" s="1"/>
  <c r="AX18" i="17" a="1"/>
  <c r="AX18" i="17" s="1"/>
  <c r="AX21" i="17" a="1"/>
  <c r="AX21" i="17" s="1"/>
  <c r="AU19" i="17" a="1"/>
  <c r="AU19" i="17" s="1"/>
  <c r="H4" i="17" s="1"/>
  <c r="AU18" i="17" a="1"/>
  <c r="AU18" i="17" s="1"/>
  <c r="AU20" i="17" a="1"/>
  <c r="AU20" i="17" s="1"/>
  <c r="AW20" i="17" a="1"/>
  <c r="AW20" i="17" s="1"/>
  <c r="AV18" i="17" a="1"/>
  <c r="AV18" i="17" s="1"/>
  <c r="AW18" i="17" a="1"/>
  <c r="AW18" i="17" s="1"/>
  <c r="AT19" i="17" a="1"/>
  <c r="AT19" i="17" s="1"/>
  <c r="K4" i="17" s="1"/>
  <c r="AV21" i="17" a="1"/>
  <c r="AV21" i="17" s="1"/>
  <c r="AW21" i="17" a="1"/>
  <c r="AW21" i="17" s="1"/>
  <c r="AT20" i="17" a="1"/>
  <c r="AT20" i="17" s="1"/>
  <c r="AV19" i="17" a="1"/>
  <c r="AV19" i="17" s="1"/>
  <c r="Q4" i="17" s="1"/>
  <c r="AT18" i="17" a="1"/>
  <c r="AT18" i="17" s="1"/>
  <c r="AX20" i="17" a="1"/>
  <c r="AX20" i="17" s="1"/>
  <c r="AX19" i="17" a="1"/>
  <c r="AX19" i="17" s="1"/>
  <c r="T4" i="17" s="1"/>
  <c r="AB44" i="10" a="1"/>
  <c r="AB44" i="10" s="1"/>
  <c r="AU21" i="17" a="1"/>
  <c r="AU21" i="17" s="1"/>
  <c r="AT21" i="17" a="1"/>
  <c r="AT21" i="17" s="1"/>
  <c r="BN47" i="17"/>
  <c r="AS17" i="17"/>
  <c r="BI50" i="17"/>
  <c r="BN50" i="17"/>
  <c r="BN46" i="17"/>
  <c r="BI46" i="17"/>
  <c r="BN48" i="17"/>
  <c r="BE45" i="17" a="1"/>
  <c r="BE45" i="17" s="1"/>
  <c r="BL45" i="17" s="1"/>
  <c r="BF45" i="17" a="1"/>
  <c r="BF45" i="17" s="1"/>
  <c r="BC45" i="17" a="1"/>
  <c r="BC45" i="17" s="1"/>
  <c r="BI49" i="17"/>
  <c r="BN49" i="17"/>
  <c r="AE44" i="10" a="1"/>
  <c r="AE44" i="10" s="1"/>
  <c r="AF7" i="17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Q49" i="10" l="1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I45" i="17"/>
  <c r="BN45" i="17"/>
  <c r="E26" i="17"/>
  <c r="AS19" i="17" a="1"/>
  <c r="AS19" i="17" s="1"/>
  <c r="E35" i="17"/>
  <c r="AS21" i="17" a="1"/>
  <c r="AS21" i="17" s="1"/>
  <c r="AS18" i="17" a="1"/>
  <c r="AS18" i="17" s="1"/>
  <c r="AS20" i="17" a="1"/>
  <c r="AS20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U5" i="1" s="1"/>
  <c r="AU9" i="1" s="1"/>
  <c r="AG9" i="1"/>
  <c r="AF9" i="1" s="1"/>
  <c r="AF13" i="1"/>
  <c r="AV13" i="1"/>
  <c r="AU14" i="1" s="1"/>
  <c r="AG3" i="1" l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<sst xmlns="http://schemas.openxmlformats.org/spreadsheetml/2006/main" count="2138" uniqueCount="1575">
  <si>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</si>
  <si>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</si>
  <si>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</si>
  <si>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</si>
  <si>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</si>
  <si>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</si>
  <si>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</si>
  <si>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</si>
  <si>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</si>
  <si>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</si>
  <si>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</si>
  <si>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</si>
  <si>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</si>
  <si>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</si>
  <si>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</si>
  <si>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</si>
  <si>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</si>
  <si>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</si>
  <si>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</si>
  <si>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</si>
  <si>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</si>
  <si>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</si>
  <si>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</si>
  <si>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</si>
  <si>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</si>
  <si>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</si>
  <si>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</si>
  <si>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</si>
  <si>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</si>
  <si>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</si>
  <si>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</si>
  <si>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</si>
  <si>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</si>
  <si>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</si>
  <si>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</si>
  <si>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</si>
  <si>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</si>
  <si>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</si>
  <si>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</si>
  <si>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</si>
  <si>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</si>
  <si>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</si>
  <si>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</si>
  <si>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</si>
  <si>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</si>
  <si>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</si>
  <si>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</si>
  <si>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</si>
  <si>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</si>
  <si>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</si>
  <si>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</si>
  <si>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</si>
  <si>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</si>
  <si>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</si>
  <si>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</si>
  <si>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</si>
  <si>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</si>
  <si>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</si>
  <si>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</si>
  <si>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</si>
  <si>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</si>
  <si>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</si>
  <si>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</si>
  <si>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</si>
  <si>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</si>
  <si>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</si>
  <si>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</si>
  <si>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</si>
  <si>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</si>
  <si>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</si>
  <si>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</si>
  <si>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</si>
  <si>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</si>
  <si>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</si>
  <si>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</si>
  <si>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</si>
  <si>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</si>
  <si>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</si>
  <si>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</si>
  <si>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</si>
  <si>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</si>
  <si>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</si>
  <si>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</si>
  <si>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</si>
  <si>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</si>
  <si>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</si>
  <si>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</si>
  <si>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</si>
  <si>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</si>
  <si>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</si>
  <si>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</si>
  <si>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</si>
  <si>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</si>
  <si>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</si>
  <si>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</si>
  <si>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</si>
  <si>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</si>
  <si>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</si>
  <si>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</si>
  <si>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</si>
  <si>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</si>
  <si>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</si>
  <si>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</si>
  <si>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</si>
  <si>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</si>
  <si>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</si>
  <si>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</si>
  <si>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</si>
  <si>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</si>
  <si>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</si>
  <si>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</si>
  <si>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</si>
  <si>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</si>
  <si>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</si>
  <si>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</si>
  <si>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</si>
  <si>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</si>
  <si>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</si>
  <si>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</si>
  <si>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</si>
  <si>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</si>
  <si>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</si>
  <si>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</si>
  <si>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</si>
  <si>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</si>
  <si>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</si>
  <si>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</si>
  <si>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</si>
  <si>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</si>
  <si>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</si>
  <si>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</si>
  <si>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</si>
  <si>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</si>
  <si>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</si>
  <si>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</si>
  <si>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</si>
  <si>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</si>
  <si>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</si>
  <si>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</si>
  <si>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</si>
  <si>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</si>
  <si>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</si>
  <si>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</si>
  <si>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</si>
  <si>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</si>
  <si>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</si>
  <si>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</si>
  <si>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</si>
  <si>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</si>
  <si>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</si>
  <si>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</si>
  <si>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</si>
  <si>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</si>
  <si>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</si>
  <si>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</si>
  <si>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</si>
  <si>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</si>
  <si>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</si>
  <si>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</si>
  <si>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</si>
  <si>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</si>
  <si>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</si>
  <si>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</si>
  <si>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</si>
  <si>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</si>
  <si>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</si>
  <si>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</si>
  <si>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</si>
  <si>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</si>
  <si>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</si>
  <si>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</si>
  <si>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</si>
  <si>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</si>
  <si>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</si>
  <si>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</si>
  <si>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</si>
  <si>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</si>
  <si>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</si>
  <si>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</si>
  <si>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</si>
  <si>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</si>
  <si>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</si>
  <si>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</si>
  <si>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</si>
  <si>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</si>
  <si>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</si>
  <si>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</si>
  <si>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</si>
  <si>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</si>
  <si>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</si>
  <si>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</si>
  <si>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</si>
  <si>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</si>
  <si>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</si>
  <si>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</si>
  <si>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</si>
  <si>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</si>
  <si>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</si>
  <si>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</si>
  <si>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</si>
  <si>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</si>
  <si>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</si>
  <si>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</si>
  <si>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</si>
  <si>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</si>
  <si>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</si>
  <si>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</si>
  <si>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</si>
  <si>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</si>
  <si>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</si>
  <si>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</si>
  <si>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</si>
  <si>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</si>
  <si>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</si>
  <si>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</si>
  <si>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</si>
  <si>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</si>
  <si>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</si>
  <si>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</si>
  <si>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</si>
  <si>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</si>
  <si>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</si>
  <si>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</si>
  <si>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</si>
  <si>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</si>
  <si>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</si>
  <si>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</si>
  <si>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</si>
  <si>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</si>
  <si>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</si>
  <si>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</si>
  <si>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</si>
  <si>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</si>
  <si>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</si>
  <si>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</si>
  <si>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</si>
  <si>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</si>
  <si>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</si>
  <si>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</si>
  <si>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</si>
  <si>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</si>
  <si>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</si>
  <si>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</si>
  <si>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</si>
  <si>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</si>
  <si>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</si>
  <si>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</si>
  <si>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</si>
  <si>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</si>
  <si>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</si>
  <si>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</si>
  <si>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</si>
  <si>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</si>
  <si>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</si>
  <si>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</si>
  <si>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</si>
  <si>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</si>
  <si>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</si>
  <si>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</si>
  <si>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</si>
  <si>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</si>
  <si>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</si>
  <si>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</si>
  <si>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</si>
  <si>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[p]</t>
  </si>
  <si>
    <t>!</t>
    <phoneticPr fontId="9" type="noConversion"/>
  </si>
  <si>
    <t>ph</t>
  </si>
  <si>
    <t>[pʰ]</t>
  </si>
  <si>
    <t>!</t>
  </si>
  <si>
    <t>[m]</t>
  </si>
  <si>
    <t>P</t>
  </si>
  <si>
    <t>A</t>
    <phoneticPr fontId="9" type="noConversion"/>
  </si>
  <si>
    <t>[b]</t>
  </si>
  <si>
    <t>[t]</t>
  </si>
  <si>
    <t>[tʰ]</t>
  </si>
  <si>
    <t>T</t>
  </si>
  <si>
    <t>[n]</t>
  </si>
  <si>
    <t>[l]</t>
  </si>
  <si>
    <t>[k]</t>
  </si>
  <si>
    <t>kh</t>
  </si>
  <si>
    <t>[kʰ]</t>
  </si>
  <si>
    <t>E</t>
    <phoneticPr fontId="9" type="noConversion"/>
  </si>
  <si>
    <t>h</t>
  </si>
  <si>
    <t>[h]</t>
  </si>
  <si>
    <t>K</t>
  </si>
  <si>
    <t>D</t>
    <phoneticPr fontId="9" type="noConversion"/>
  </si>
  <si>
    <t>[t͡ɕ]</t>
  </si>
  <si>
    <t>[t͡ɕʰ]</t>
  </si>
  <si>
    <t>[ɕ]</t>
  </si>
  <si>
    <t>[g]</t>
  </si>
  <si>
    <t>ㄖ</t>
    <phoneticPr fontId="9" type="noConversion"/>
  </si>
  <si>
    <t>ㆡ</t>
    <phoneticPr fontId="9" type="noConversion"/>
  </si>
  <si>
    <t>V</t>
    <phoneticPr fontId="9" type="noConversion"/>
  </si>
  <si>
    <t>[d͡ʑ]</t>
  </si>
  <si>
    <t>Y</t>
  </si>
  <si>
    <t>Z</t>
  </si>
  <si>
    <t>[d͡z]</t>
  </si>
  <si>
    <t>H</t>
  </si>
  <si>
    <t>C</t>
  </si>
  <si>
    <t>[t͡s]</t>
  </si>
  <si>
    <t>S</t>
  </si>
  <si>
    <t>si-</t>
  </si>
  <si>
    <t>[t͡sʰ]</t>
  </si>
  <si>
    <t>[s]</t>
  </si>
  <si>
    <t>[i]</t>
  </si>
  <si>
    <t>[u]</t>
  </si>
  <si>
    <t>[m̩]</t>
  </si>
  <si>
    <t>[a]</t>
  </si>
  <si>
    <t>ㄜ</t>
  </si>
  <si>
    <t>[ɔ]</t>
  </si>
  <si>
    <t>ㄝ</t>
    <phoneticPr fontId="9" type="noConversion"/>
  </si>
  <si>
    <t>[ai]</t>
  </si>
  <si>
    <t>M</t>
    <phoneticPr fontId="9" type="noConversion"/>
  </si>
  <si>
    <t>[e]</t>
  </si>
  <si>
    <t>ㄛ</t>
  </si>
  <si>
    <t>[au]</t>
  </si>
  <si>
    <t>[ɔŋ]</t>
  </si>
  <si>
    <t>[an]</t>
  </si>
  <si>
    <t>-n</t>
  </si>
  <si>
    <t>[aŋ]</t>
  </si>
  <si>
    <t>-ng</t>
  </si>
  <si>
    <t>l</t>
    <phoneticPr fontId="9" type="noConversion"/>
  </si>
  <si>
    <t>L</t>
    <phoneticPr fontId="9" type="noConversion"/>
  </si>
  <si>
    <t>[ŋ̍]</t>
  </si>
  <si>
    <t>[am]</t>
  </si>
  <si>
    <t>[ɔm]</t>
  </si>
  <si>
    <t>ㄚㄇ</t>
  </si>
  <si>
    <t>[ã]</t>
  </si>
  <si>
    <t>:</t>
    <phoneticPr fontId="9" type="noConversion"/>
  </si>
  <si>
    <t>inn</t>
  </si>
  <si>
    <t>[ĩ]</t>
  </si>
  <si>
    <t>unn</t>
  </si>
  <si>
    <t>[ũ]</t>
  </si>
  <si>
    <t>ㄦ</t>
    <phoneticPr fontId="9" type="noConversion"/>
  </si>
  <si>
    <t>ir</t>
  </si>
  <si>
    <t>[ẽ]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</si>
  <si>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</si>
  <si>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</si>
  <si>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</si>
  <si>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</si>
  <si>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</si>
  <si>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</si>
  <si>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</si>
  <si>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</si>
  <si>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</si>
  <si>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</si>
  <si>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</si>
  <si>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</si>
  <si>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</si>
  <si>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</si>
  <si>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</si>
  <si>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</si>
  <si>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</si>
  <si>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</si>
  <si>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</si>
  <si>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</si>
  <si>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</si>
  <si>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</si>
  <si>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</si>
  <si>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</si>
  <si>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</si>
  <si>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</si>
  <si>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</si>
  <si>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</si>
  <si>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</si>
  <si>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</si>
  <si>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</si>
  <si>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</si>
  <si>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</si>
  <si>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</si>
  <si>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</si>
  <si>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</si>
  <si>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</si>
  <si>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</si>
  <si>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</si>
  <si>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</si>
  <si>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</si>
  <si>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</si>
  <si>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</si>
  <si>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</si>
  <si>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</si>
  <si>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</si>
  <si>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</si>
  <si>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</si>
  <si>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</si>
  <si>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</si>
  <si>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</si>
  <si>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</si>
  <si>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</si>
  <si>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</si>
  <si>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</si>
  <si>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</si>
  <si>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</si>
  <si>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</si>
  <si>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</si>
  <si>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</si>
  <si>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</si>
  <si>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</si>
  <si>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</si>
  <si>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</si>
  <si>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</si>
  <si>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</si>
  <si>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</si>
  <si>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</si>
  <si>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</si>
  <si>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</si>
  <si>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</si>
  <si>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</si>
  <si>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</si>
  <si>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</si>
  <si>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</si>
  <si>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</si>
  <si>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</si>
  <si>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</si>
  <si>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</si>
  <si>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</si>
  <si>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</si>
  <si>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</si>
  <si>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</si>
  <si>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</si>
  <si>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</si>
  <si>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</si>
  <si>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</si>
  <si>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</si>
  <si>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</si>
  <si>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</si>
  <si>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</si>
  <si>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</si>
  <si>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</si>
  <si>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</si>
  <si>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</si>
  <si>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</si>
  <si>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</si>
  <si>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</si>
  <si>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</si>
  <si>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</si>
  <si>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</si>
  <si>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</si>
  <si>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</si>
  <si>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</si>
  <si>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</si>
  <si>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</si>
  <si>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</si>
  <si>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</si>
  <si>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</si>
  <si>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</si>
  <si>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</si>
  <si>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</si>
  <si>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</si>
  <si>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</si>
  <si>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</si>
  <si>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</si>
  <si>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</si>
  <si>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</si>
  <si>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</si>
  <si>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</si>
  <si>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</si>
  <si>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</si>
  <si>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</si>
  <si>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</si>
  <si>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</si>
  <si>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</si>
  <si>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</si>
  <si>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</si>
  <si>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</si>
  <si>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</si>
  <si>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</si>
  <si>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</si>
  <si>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</si>
  <si>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</si>
  <si>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</si>
  <si>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</si>
  <si>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</si>
  <si>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</si>
  <si>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</si>
  <si>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</si>
  <si>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</si>
  <si>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</si>
  <si>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</si>
  <si>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</si>
  <si>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</si>
  <si>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</si>
  <si>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</si>
  <si>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</si>
  <si>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</si>
  <si>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</si>
  <si>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</si>
  <si>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</si>
  <si>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</si>
  <si>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</si>
  <si>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</si>
  <si>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</si>
  <si>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</si>
  <si>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</si>
  <si>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</si>
  <si>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</si>
  <si>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</si>
  <si>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</si>
  <si>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</si>
  <si>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</si>
  <si>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</si>
  <si>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</si>
  <si>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</si>
  <si>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</si>
  <si>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</si>
  <si>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</si>
  <si>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</si>
  <si>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</si>
  <si>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</si>
  <si>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</si>
  <si>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</si>
  <si>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</si>
  <si>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</si>
  <si>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</si>
  <si>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</si>
  <si>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</si>
  <si>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</si>
  <si>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</si>
  <si>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</si>
  <si>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</si>
  <si>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</si>
  <si>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</si>
  <si>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</si>
  <si>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</si>
  <si>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</si>
  <si>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</si>
  <si>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</si>
  <si>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</si>
  <si>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</si>
  <si>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</si>
  <si>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</si>
  <si>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</si>
  <si>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</si>
  <si>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</si>
  <si>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</si>
  <si>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</si>
  <si>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</si>
  <si>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</si>
  <si>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</si>
  <si>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</si>
  <si>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</si>
  <si>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</si>
  <si>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</si>
  <si>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</si>
  <si>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</si>
  <si>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</si>
  <si>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</si>
  <si>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</si>
  <si>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</si>
  <si>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</si>
  <si>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</si>
  <si>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</si>
  <si>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</si>
  <si>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</si>
  <si>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</si>
  <si>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</si>
  <si>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</si>
  <si>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</si>
  <si>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</si>
  <si>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</si>
  <si>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</si>
  <si>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</si>
  <si>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</si>
  <si>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</si>
  <si>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</si>
  <si>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</si>
  <si>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</si>
  <si>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</si>
  <si>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</si>
  <si>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</si>
  <si>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</si>
  <si>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</si>
  <si>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</si>
  <si>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</si>
  <si>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</si>
  <si>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</si>
  <si>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[o]</t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</si>
  <si>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</si>
  <si>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</si>
  <si>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</si>
  <si>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</si>
  <si>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</si>
  <si>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</si>
  <si>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</si>
  <si>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</si>
  <si>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</si>
  <si>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</si>
  <si>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</si>
  <si>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</si>
  <si>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</si>
  <si>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</si>
  <si>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</si>
  <si>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</si>
  <si>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[ɔ̃]</t>
  </si>
  <si>
    <t>[ãĩ]</t>
  </si>
  <si>
    <t>[ãũ]</t>
  </si>
  <si>
    <t>tang1</t>
    <phoneticPr fontId="9" type="noConversion"/>
  </si>
  <si>
    <t>聲母 (21)</t>
  </si>
  <si>
    <t>韻母 (24)</t>
  </si>
  <si>
    <r>
      <t>[</t>
    </r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Times New Roman"/>
        <family val="1"/>
      </rPr>
      <t>]</t>
    </r>
  </si>
  <si>
    <t>ㄒㄧ</t>
  </si>
  <si>
    <t>ㄑㄧ</t>
    <phoneticPr fontId="9" type="noConversion"/>
  </si>
  <si>
    <t>ㄐㄧ</t>
    <phoneticPr fontId="9" type="noConversion"/>
  </si>
  <si>
    <t>⁰ㄛ</t>
    <phoneticPr fontId="9" type="noConversion"/>
  </si>
  <si>
    <t>ㄛㄥ</t>
    <phoneticPr fontId="9" type="noConversion"/>
  </si>
  <si>
    <t>ㆢㄧ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</si>
  <si>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</si>
  <si>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</si>
  <si>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</si>
  <si>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</si>
  <si>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</si>
  <si>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</si>
  <si>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</si>
  <si>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</si>
  <si>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</si>
  <si>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</si>
  <si>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</si>
  <si>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</si>
  <si>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</si>
  <si>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</si>
  <si>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</si>
  <si>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</si>
  <si>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</si>
  <si>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</si>
  <si>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</si>
  <si>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</si>
  <si>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</si>
  <si>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</si>
  <si>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</si>
  <si>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</si>
  <si>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</si>
  <si>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</si>
  <si>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</si>
  <si>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</si>
  <si>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</si>
  <si>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</si>
  <si>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</si>
  <si>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</si>
  <si>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</si>
  <si>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</si>
  <si>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</si>
  <si>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</si>
  <si>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</si>
  <si>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</si>
  <si>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</si>
  <si>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</si>
  <si>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</si>
  <si>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</si>
  <si>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</si>
  <si>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</si>
  <si>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</si>
  <si>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</si>
  <si>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</si>
  <si>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</si>
  <si>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</si>
  <si>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</si>
  <si>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</si>
  <si>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</si>
  <si>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</si>
  <si>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</si>
  <si>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</si>
  <si>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</si>
  <si>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</si>
  <si>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</si>
  <si>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</si>
  <si>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</si>
  <si>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</si>
  <si>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</si>
  <si>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</si>
  <si>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</si>
  <si>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</si>
  <si>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</si>
  <si>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</si>
  <si>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</si>
  <si>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</si>
  <si>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</si>
  <si>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</si>
  <si>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</si>
  <si>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</si>
  <si>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</si>
  <si>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</si>
  <si>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</si>
  <si>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</si>
  <si>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</si>
  <si>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</si>
  <si>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</si>
  <si>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</si>
  <si>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</si>
  <si>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</si>
  <si>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</si>
  <si>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</si>
  <si>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</si>
  <si>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</si>
  <si>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</si>
  <si>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</si>
  <si>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</si>
  <si>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</si>
  <si>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</si>
  <si>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</si>
  <si>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</si>
  <si>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</si>
  <si>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</si>
  <si>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</si>
  <si>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</si>
  <si>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</si>
  <si>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</si>
  <si>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</si>
  <si>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</si>
  <si>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</si>
  <si>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</si>
  <si>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</si>
  <si>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</si>
  <si>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</si>
  <si>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</si>
  <si>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</si>
  <si>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</si>
  <si>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</si>
  <si>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</si>
  <si>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</si>
  <si>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</si>
  <si>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</si>
  <si>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</si>
  <si>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</si>
  <si>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</si>
  <si>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</si>
  <si>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</si>
  <si>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</si>
  <si>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</si>
  <si>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</si>
  <si>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</si>
  <si>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</si>
  <si>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</si>
  <si>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</si>
  <si>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</si>
  <si>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</si>
  <si>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</si>
  <si>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</si>
  <si>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</si>
  <si>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</si>
  <si>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</si>
  <si>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</si>
  <si>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</si>
  <si>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</si>
  <si>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</si>
  <si>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</si>
  <si>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</si>
  <si>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</si>
  <si>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</si>
  <si>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</si>
  <si>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</si>
  <si>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</si>
  <si>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</si>
  <si>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</si>
  <si>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</si>
  <si>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</si>
  <si>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</si>
  <si>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</si>
  <si>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</si>
  <si>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</si>
  <si>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</si>
  <si>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</si>
  <si>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</si>
  <si>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</si>
  <si>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</si>
  <si>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</si>
  <si>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</si>
  <si>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</si>
  <si>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</si>
  <si>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</si>
  <si>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</si>
  <si>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</si>
  <si>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</si>
  <si>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</si>
  <si>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</si>
  <si>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</si>
  <si>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</si>
  <si>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</si>
  <si>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</si>
  <si>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</si>
  <si>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</si>
  <si>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</si>
  <si>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</si>
  <si>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</si>
  <si>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</si>
  <si>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</si>
  <si>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</si>
  <si>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</si>
  <si>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</si>
  <si>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</si>
  <si>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</si>
  <si>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</si>
  <si>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</si>
  <si>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</si>
  <si>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</si>
  <si>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</si>
  <si>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</si>
  <si>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</si>
  <si>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</si>
  <si>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</si>
  <si>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</si>
  <si>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</si>
  <si>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</si>
  <si>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</si>
  <si>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</si>
  <si>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</si>
  <si>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</si>
  <si>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</si>
  <si>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</si>
  <si>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</si>
  <si>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</si>
  <si>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</si>
  <si>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</si>
  <si>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</si>
  <si>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</si>
  <si>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</si>
  <si>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</si>
  <si>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</si>
  <si>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</si>
  <si>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</si>
  <si>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</si>
  <si>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</si>
  <si>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</si>
  <si>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</si>
  <si>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</si>
  <si>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</si>
  <si>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</si>
  <si>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</si>
  <si>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</si>
  <si>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</si>
  <si>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</si>
  <si>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</si>
  <si>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</si>
  <si>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</si>
  <si>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</si>
  <si>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</si>
  <si>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</si>
  <si>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</si>
  <si>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</si>
  <si>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</si>
  <si>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</si>
  <si>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</si>
  <si>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</si>
  <si>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</si>
  <si>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</si>
  <si>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</si>
  <si>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</si>
  <si>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</si>
  <si>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</si>
  <si>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</si>
  <si>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</si>
  <si>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</si>
  <si>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</si>
  <si>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</si>
  <si>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</si>
  <si>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</si>
  <si>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</si>
  <si>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</si>
  <si>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</si>
  <si>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</si>
  <si>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</si>
  <si>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</si>
  <si>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</si>
  <si>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</si>
  <si>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</si>
  <si>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</si>
  <si>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</si>
  <si>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</si>
  <si>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</si>
  <si>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</si>
  <si>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</si>
  <si>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</si>
  <si>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</si>
  <si>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</si>
  <si>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</si>
  <si>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</si>
  <si>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</si>
  <si>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</si>
  <si>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</si>
  <si>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</si>
  <si>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</si>
  <si>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</si>
  <si>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</si>
  <si>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</si>
  <si>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</si>
  <si>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</si>
  <si>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</si>
  <si>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</si>
  <si>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</si>
  <si>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</si>
  <si>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</si>
  <si>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</si>
  <si>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</si>
  <si>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</si>
  <si>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</si>
  <si>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</si>
  <si>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</si>
  <si>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</si>
  <si>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</si>
  <si>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</si>
  <si>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</si>
  <si>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</si>
  <si>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</si>
  <si>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</si>
  <si>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</si>
  <si>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</si>
  <si>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</si>
  <si>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</si>
  <si>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</si>
  <si>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</si>
  <si>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</si>
  <si>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</si>
  <si>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</si>
  <si>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</si>
  <si>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</si>
  <si>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</si>
  <si>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</si>
  <si>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</si>
  <si>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</si>
  <si>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</si>
  <si>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</si>
  <si>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</si>
  <si>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</si>
  <si>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</si>
  <si>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</si>
  <si>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</si>
  <si>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</si>
  <si>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</si>
  <si>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</si>
  <si>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</si>
  <si>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</si>
  <si>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</si>
  <si>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</si>
  <si>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</si>
  <si>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</si>
  <si>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</si>
  <si>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</si>
  <si>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</si>
  <si>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</si>
  <si>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</si>
  <si>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</si>
  <si>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</si>
  <si>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</si>
  <si>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</si>
  <si>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</si>
  <si>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</si>
  <si>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</si>
  <si>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</si>
  <si>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</si>
  <si>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</si>
  <si>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</si>
  <si>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</si>
  <si>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</si>
  <si>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</si>
  <si>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</si>
  <si>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</si>
  <si>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</si>
  <si>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</si>
  <si>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</si>
  <si>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</si>
  <si>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</si>
  <si>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</si>
  <si>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</si>
  <si>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</si>
  <si>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</si>
  <si>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</si>
  <si>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</si>
  <si>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</si>
  <si>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</si>
  <si>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</si>
  <si>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</si>
  <si>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</si>
  <si>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</si>
  <si>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</si>
  <si>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</si>
  <si>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</si>
  <si>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</si>
  <si>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</si>
  <si>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</si>
  <si>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</si>
  <si>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</si>
  <si>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</si>
  <si>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</si>
  <si>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</si>
  <si>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</si>
  <si>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</si>
  <si>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</si>
  <si>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</si>
  <si>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</si>
  <si>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</si>
  <si>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</si>
  <si>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</si>
  <si>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</si>
  <si>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</si>
  <si>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</si>
  <si>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</si>
  <si>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</si>
  <si>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</si>
  <si>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</si>
  <si>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</si>
  <si>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</si>
  <si>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</si>
  <si>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</si>
  <si>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</si>
  <si>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</si>
  <si>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</si>
  <si>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</si>
  <si>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</si>
  <si>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</si>
  <si>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</si>
  <si>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</si>
  <si>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</si>
  <si>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</si>
  <si>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</si>
  <si>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</si>
  <si>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</si>
  <si>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</si>
  <si>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</si>
  <si>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</si>
  <si>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</si>
  <si>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</si>
  <si>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</si>
  <si>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</si>
  <si>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</si>
  <si>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</si>
  <si>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</si>
  <si>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</si>
  <si>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</si>
  <si>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</si>
  <si>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</si>
  <si>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</si>
  <si>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</si>
  <si>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</si>
  <si>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</si>
  <si>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</si>
  <si>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</si>
  <si>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</si>
  <si>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</si>
  <si>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</si>
  <si>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</si>
  <si>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</si>
  <si>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</si>
  <si>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</si>
  <si>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</si>
  <si>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</si>
  <si>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</si>
  <si>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</si>
  <si>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</si>
  <si>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</si>
  <si>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</si>
  <si>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</si>
  <si>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</si>
  <si>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</si>
  <si>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</si>
  <si>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</si>
  <si>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</si>
  <si>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</si>
  <si>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</si>
  <si>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</si>
  <si>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</si>
  <si>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</si>
  <si>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</si>
  <si>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</si>
  <si>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</si>
  <si>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</si>
  <si>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</si>
  <si>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</si>
  <si>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</si>
  <si>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</si>
  <si>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</si>
  <si>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</si>
  <si>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</si>
  <si>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</si>
  <si>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</si>
  <si>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</si>
  <si>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</si>
  <si>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</si>
  <si>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</si>
  <si>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</si>
  <si>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</si>
  <si>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</si>
  <si>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</si>
  <si>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</si>
  <si>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</si>
  <si>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</si>
  <si>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</si>
  <si>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</si>
  <si>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</si>
  <si>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</si>
  <si>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</si>
  <si>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</si>
  <si>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</si>
  <si>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</si>
  <si>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</si>
  <si>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</si>
  <si>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</si>
  <si>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</si>
  <si>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</si>
  <si>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</si>
  <si>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</si>
  <si>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</si>
  <si>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</si>
  <si>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</si>
  <si>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</si>
  <si>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</si>
  <si>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</si>
  <si>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</si>
  <si>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</si>
  <si>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</si>
  <si>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</si>
  <si>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</si>
  <si>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</si>
  <si>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</si>
  <si>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</si>
  <si>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</si>
  <si>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</si>
  <si>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</si>
  <si>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</si>
  <si>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</si>
  <si>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</si>
  <si>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</si>
  <si>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</si>
  <si>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</si>
  <si>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</si>
  <si>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</si>
  <si>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</si>
  <si>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</si>
  <si>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</si>
  <si>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</si>
  <si>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</si>
  <si>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</si>
  <si>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</si>
  <si>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</si>
  <si>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</si>
  <si>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</si>
  <si>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</si>
  <si>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</si>
  <si>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</si>
  <si>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</si>
  <si>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</si>
  <si>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</si>
  <si>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</si>
  <si>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</si>
  <si>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</si>
  <si>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</si>
  <si>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</si>
  <si>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</si>
  <si>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</si>
  <si>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</si>
  <si>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</si>
  <si>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</si>
  <si>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</si>
  <si>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</si>
  <si>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</si>
  <si>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</si>
  <si>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</si>
  <si>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</si>
  <si>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</si>
  <si>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</si>
  <si>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</si>
  <si>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</si>
  <si>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</si>
  <si>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</si>
  <si>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</si>
  <si>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</si>
  <si>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</si>
  <si>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</si>
  <si>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</si>
  <si>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</si>
  <si>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</si>
  <si>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</si>
  <si>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</si>
  <si>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</si>
  <si>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</si>
  <si>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</si>
  <si>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</si>
  <si>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</si>
  <si>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</si>
  <si>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</si>
  <si>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</si>
  <si>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</si>
  <si>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</si>
  <si>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</si>
  <si>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</si>
  <si>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</si>
  <si>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</si>
  <si>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</si>
  <si>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</si>
  <si>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</si>
  <si>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</si>
  <si>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</si>
  <si>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</si>
  <si>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</si>
  <si>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</si>
  <si>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</si>
  <si>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</si>
  <si>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</si>
  <si>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</si>
  <si>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</si>
  <si>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</si>
  <si>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</si>
  <si>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</si>
  <si>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</si>
  <si>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</si>
  <si>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</si>
  <si>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</si>
  <si>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</si>
  <si>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</si>
  <si>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</si>
  <si>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</si>
  <si>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</si>
  <si>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</si>
  <si>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</si>
  <si>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</si>
  <si>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</si>
  <si>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</si>
  <si>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</si>
  <si>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</si>
  <si>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</si>
  <si>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</si>
  <si>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</si>
  <si>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</si>
  <si>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</si>
  <si>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</si>
  <si>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</si>
  <si>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</si>
  <si>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</si>
  <si>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</si>
  <si>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</si>
  <si>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</si>
  <si>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</si>
  <si>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</si>
  <si>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</si>
  <si>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</si>
  <si>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</si>
  <si>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</si>
  <si>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</si>
  <si>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</si>
  <si>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</si>
  <si>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</si>
  <si>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</si>
  <si>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</si>
  <si>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</si>
  <si>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</si>
  <si>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</si>
  <si>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</si>
  <si>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</si>
  <si>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</si>
  <si>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</si>
  <si>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</si>
  <si>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</si>
  <si>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</si>
  <si>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</si>
  <si>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</si>
  <si>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</si>
  <si>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</si>
  <si>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</si>
  <si>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</si>
  <si>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</si>
  <si>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</si>
  <si>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</si>
  <si>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</si>
  <si>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</si>
  <si>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</si>
  <si>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</si>
  <si>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</si>
  <si>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</si>
  <si>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</si>
  <si>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</si>
  <si>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</si>
  <si>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</si>
  <si>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</si>
  <si>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</si>
  <si>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</si>
  <si>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</si>
  <si>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</si>
  <si>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</si>
  <si>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</si>
  <si>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</si>
  <si>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</si>
  <si>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</si>
  <si>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</si>
  <si>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</si>
  <si>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</si>
  <si>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</si>
  <si>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</si>
  <si>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</si>
  <si>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</si>
  <si>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</si>
  <si>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</si>
  <si>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</si>
  <si>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</si>
  <si>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</si>
  <si>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</si>
  <si>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</si>
  <si>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</si>
  <si>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</si>
  <si>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</si>
  <si>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</si>
  <si>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</si>
  <si>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</si>
  <si>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</si>
  <si>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</si>
  <si>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</si>
  <si>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</si>
  <si>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</si>
  <si>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</si>
  <si>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</si>
  <si>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</si>
  <si>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</si>
  <si>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</si>
  <si>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</si>
  <si>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</si>
  <si>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</si>
  <si>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</si>
  <si>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</si>
  <si>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</si>
  <si>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</si>
  <si>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</si>
  <si>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</si>
  <si>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</si>
  <si>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</si>
  <si>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</si>
  <si>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</si>
  <si>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</si>
  <si>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</si>
  <si>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</si>
  <si>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</si>
  <si>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</si>
  <si>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</si>
  <si>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</si>
  <si>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</si>
  <si>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</si>
  <si>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</si>
  <si>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</si>
  <si>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</si>
  <si>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</si>
  <si>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</si>
  <si>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</si>
  <si>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</si>
  <si>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</si>
  <si>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</si>
  <si>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</si>
  <si>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</si>
  <si>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</si>
  <si>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</si>
  <si>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</si>
  <si>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</si>
  <si>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</si>
  <si>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</si>
  <si>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</si>
  <si>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</si>
  <si>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</si>
  <si>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</si>
  <si>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</si>
  <si>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</si>
  <si>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</si>
  <si>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</si>
  <si>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</si>
  <si>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</si>
  <si>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</si>
  <si>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</si>
  <si>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</si>
  <si>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</si>
  <si>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</si>
  <si>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</si>
  <si>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</si>
  <si>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</si>
  <si>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</si>
  <si>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</si>
  <si>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</si>
  <si>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</si>
  <si>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</si>
  <si>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</si>
  <si>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</si>
  <si>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</si>
  <si>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</si>
  <si>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</si>
  <si>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</si>
  <si>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</si>
  <si>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</si>
  <si>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</si>
  <si>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</si>
  <si>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</si>
  <si>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</si>
  <si>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</si>
  <si>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</si>
  <si>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</si>
  <si>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</si>
  <si>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</si>
  <si>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</si>
  <si>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</si>
  <si>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</si>
  <si>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</si>
  <si>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</si>
  <si>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</si>
  <si>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</si>
  <si>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</si>
  <si>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</si>
  <si>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</si>
  <si>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</si>
  <si>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</si>
  <si>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</si>
  <si>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</si>
  <si>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</si>
  <si>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</si>
  <si>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</si>
  <si>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</si>
  <si>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</si>
  <si>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</si>
  <si>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</si>
  <si>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</si>
  <si>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</si>
  <si>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</si>
  <si>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</si>
  <si>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</si>
  <si>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</si>
  <si>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</si>
  <si>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</si>
  <si>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</si>
  <si>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</si>
  <si>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</si>
  <si>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</si>
  <si>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</si>
  <si>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</si>
  <si>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</si>
  <si>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</si>
  <si>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</si>
  <si>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</si>
  <si>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</si>
  <si>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</si>
  <si>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</si>
  <si>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</si>
  <si>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</si>
  <si>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</si>
  <si>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</si>
  <si>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</si>
  <si>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</si>
  <si>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</si>
  <si>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</si>
  <si>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</si>
  <si>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</si>
  <si>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</si>
  <si>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</si>
  <si>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</si>
  <si>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</si>
  <si>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</si>
  <si>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</si>
  <si>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</si>
  <si>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</si>
  <si>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</si>
  <si>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</si>
  <si>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</si>
  <si>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</si>
  <si>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</si>
  <si>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</si>
  <si>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</si>
  <si>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</si>
  <si>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</si>
  <si>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</si>
  <si>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</si>
  <si>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</si>
  <si>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</si>
  <si>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</si>
  <si>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</si>
  <si>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</si>
  <si>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</si>
  <si>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</si>
  <si>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</si>
  <si>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</si>
  <si>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</si>
  <si>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</si>
  <si>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</si>
  <si>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</si>
  <si>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</si>
  <si>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</si>
  <si>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</si>
  <si>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</si>
  <si>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</si>
  <si>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</si>
  <si>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</si>
  <si>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</si>
  <si>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</si>
  <si>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</si>
  <si>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</si>
  <si>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</si>
  <si>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</si>
  <si>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</si>
  <si>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</si>
  <si>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</si>
  <si>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</si>
  <si>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</si>
  <si>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</si>
  <si>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</si>
  <si>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</si>
  <si>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</si>
  <si>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</si>
  <si>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</si>
  <si>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</si>
  <si>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</si>
  <si>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</si>
  <si>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</si>
  <si>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</si>
  <si>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</si>
  <si>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</si>
  <si>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</si>
  <si>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</si>
  <si>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</si>
  <si>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ㆦㄇ</t>
    <phoneticPr fontId="9" type="noConversion"/>
  </si>
  <si>
    <t>ㆦㄥ</t>
    <phoneticPr fontId="9" type="noConversion"/>
  </si>
  <si>
    <t>[ɲ]</t>
    <phoneticPr fontId="9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</si>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</sst>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General;;\(&quot;空&quot;&quot;白&quot;&quot;字&quot;&quot;元&quot;\)"/>
    <numFmt numFmtId="177" formatCode="General;;"/>
  </numFmts>
  <fonts count="186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36"/>
      <color rgb="FFFF0000"/>
      <name val="KangXiZiDian.com 康熙字典體常用版"/>
      <charset val="136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1" fillId="0" borderId="0" applyNumberFormat="0" applyFill="0" applyBorder="0" applyAlignment="0" applyProtection="0"/>
    <xf numFmtId="0" fontId="144" fillId="0" borderId="0"/>
  </cellStyleXfs>
  <cellXfs count="465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3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4" fillId="0" borderId="0" xfId="1" applyFont="1"/>
    <xf numFmtId="0" fontId="52" fillId="2" borderId="0" xfId="2" applyFont="1" applyFill="1"/>
    <xf numFmtId="0" fontId="65" fillId="0" borderId="0" xfId="0" applyFont="1"/>
    <xf numFmtId="0" fontId="56" fillId="0" borderId="0" xfId="2" applyFont="1" applyAlignment="1">
      <alignment horizontal="center"/>
    </xf>
    <xf numFmtId="0" fontId="66" fillId="0" borderId="0" xfId="2" applyFont="1"/>
    <xf numFmtId="0" fontId="67" fillId="0" borderId="0" xfId="2" applyFont="1" applyAlignment="1">
      <alignment horizontal="center" vertical="center"/>
    </xf>
    <xf numFmtId="0" fontId="68" fillId="3" borderId="12" xfId="2" applyFont="1" applyFill="1" applyBorder="1" applyAlignment="1">
      <alignment vertical="center"/>
    </xf>
    <xf numFmtId="0" fontId="68" fillId="3" borderId="14" xfId="2" applyFont="1" applyFill="1" applyBorder="1" applyAlignment="1">
      <alignment vertical="center"/>
    </xf>
    <xf numFmtId="0" fontId="69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70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1" fillId="7" borderId="12" xfId="2" applyFont="1" applyFill="1" applyBorder="1" applyAlignment="1">
      <alignment vertical="center"/>
    </xf>
    <xf numFmtId="0" fontId="71" fillId="7" borderId="14" xfId="2" applyFont="1" applyFill="1" applyBorder="1" applyAlignment="1">
      <alignment vertical="center"/>
    </xf>
    <xf numFmtId="0" fontId="72" fillId="7" borderId="16" xfId="2" applyFont="1" applyFill="1" applyBorder="1" applyAlignment="1">
      <alignment horizontal="center" vertical="center"/>
    </xf>
    <xf numFmtId="0" fontId="71" fillId="16" borderId="12" xfId="2" applyFont="1" applyFill="1" applyBorder="1" applyAlignment="1">
      <alignment vertical="center"/>
    </xf>
    <xf numFmtId="0" fontId="71" fillId="16" borderId="14" xfId="2" applyFont="1" applyFill="1" applyBorder="1" applyAlignment="1">
      <alignment vertical="center"/>
    </xf>
    <xf numFmtId="0" fontId="72" fillId="16" borderId="16" xfId="2" applyFont="1" applyFill="1" applyBorder="1" applyAlignment="1">
      <alignment horizontal="center" vertical="center"/>
    </xf>
    <xf numFmtId="0" fontId="71" fillId="5" borderId="12" xfId="2" applyFont="1" applyFill="1" applyBorder="1" applyAlignment="1">
      <alignment vertical="center"/>
    </xf>
    <xf numFmtId="0" fontId="71" fillId="5" borderId="14" xfId="2" applyFont="1" applyFill="1" applyBorder="1" applyAlignment="1">
      <alignment vertical="center"/>
    </xf>
    <xf numFmtId="0" fontId="72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7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2" fillId="0" borderId="0" xfId="1" applyFont="1" applyAlignment="1">
      <alignment vertical="center"/>
    </xf>
    <xf numFmtId="0" fontId="80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3" fillId="17" borderId="0" xfId="2" applyFont="1" applyFill="1" applyAlignment="1">
      <alignment vertical="center"/>
    </xf>
    <xf numFmtId="0" fontId="84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7" fillId="0" borderId="0" xfId="1" applyFont="1" applyAlignment="1">
      <alignment vertical="center"/>
    </xf>
    <xf numFmtId="0" fontId="87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8" fillId="15" borderId="0" xfId="1" applyFont="1" applyFill="1" applyAlignment="1">
      <alignment vertical="center"/>
    </xf>
    <xf numFmtId="0" fontId="88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3" fillId="20" borderId="12" xfId="2" applyFont="1" applyFill="1" applyBorder="1" applyAlignment="1">
      <alignment vertical="center"/>
    </xf>
    <xf numFmtId="0" fontId="74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74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6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90" fillId="6" borderId="0" xfId="0" applyFont="1" applyFill="1" applyAlignment="1">
      <alignment horizontal="center" vertical="center"/>
    </xf>
    <xf numFmtId="0" fontId="99" fillId="7" borderId="15" xfId="0" applyFont="1" applyFill="1" applyBorder="1" applyAlignment="1">
      <alignment horizontal="center" vertical="center"/>
    </xf>
    <xf numFmtId="0" fontId="98" fillId="4" borderId="15" xfId="0" applyFont="1" applyFill="1" applyBorder="1" applyAlignment="1">
      <alignment horizontal="center" vertical="center"/>
    </xf>
    <xf numFmtId="0" fontId="99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4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2" fillId="8" borderId="0" xfId="1" applyFont="1" applyFill="1" applyAlignment="1">
      <alignment horizontal="center"/>
    </xf>
    <xf numFmtId="0" fontId="102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4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5" fillId="0" borderId="0" xfId="1" applyFont="1" applyAlignment="1">
      <alignment horizontal="left"/>
    </xf>
    <xf numFmtId="0" fontId="103" fillId="0" borderId="0" xfId="1" applyFont="1" applyAlignment="1">
      <alignment vertical="center"/>
    </xf>
    <xf numFmtId="0" fontId="103" fillId="0" borderId="0" xfId="1" applyFont="1" applyAlignment="1">
      <alignment horizontal="left" vertical="center" indent="1"/>
    </xf>
    <xf numFmtId="0" fontId="90" fillId="5" borderId="0" xfId="0" applyFont="1" applyFill="1" applyAlignment="1">
      <alignment horizontal="left" vertical="center" indent="1"/>
    </xf>
    <xf numFmtId="0" fontId="22" fillId="7" borderId="0" xfId="0" applyFont="1" applyFill="1" applyAlignment="1">
      <alignment horizontal="center" vertical="center"/>
    </xf>
    <xf numFmtId="0" fontId="106" fillId="4" borderId="0" xfId="0" applyFont="1" applyFill="1" applyAlignment="1">
      <alignment horizontal="center" vertical="center"/>
    </xf>
    <xf numFmtId="0" fontId="107" fillId="6" borderId="0" xfId="0" applyFont="1" applyFill="1" applyAlignment="1">
      <alignment horizontal="center" vertical="center"/>
    </xf>
    <xf numFmtId="0" fontId="107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4" fillId="0" borderId="0" xfId="1" applyFont="1" applyAlignment="1" applyProtection="1">
      <alignment vertical="center"/>
      <protection locked="0"/>
    </xf>
    <xf numFmtId="0" fontId="104" fillId="11" borderId="10" xfId="1" applyFont="1" applyFill="1" applyBorder="1" applyAlignment="1">
      <alignment horizontal="center" vertical="center"/>
    </xf>
    <xf numFmtId="0" fontId="104" fillId="11" borderId="6" xfId="1" applyFont="1" applyFill="1" applyBorder="1" applyAlignment="1">
      <alignment horizontal="center" vertical="center"/>
    </xf>
    <xf numFmtId="0" fontId="104" fillId="11" borderId="11" xfId="1" applyFont="1" applyFill="1" applyBorder="1" applyAlignment="1">
      <alignment horizontal="center" vertical="center"/>
    </xf>
    <xf numFmtId="0" fontId="64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4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9" fillId="2" borderId="0" xfId="1" applyFont="1" applyFill="1"/>
    <xf numFmtId="0" fontId="38" fillId="2" borderId="0" xfId="1" applyFont="1" applyFill="1"/>
    <xf numFmtId="0" fontId="110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111" fillId="2" borderId="0" xfId="3" quotePrefix="1" applyFill="1"/>
    <xf numFmtId="0" fontId="112" fillId="5" borderId="0" xfId="0" applyFont="1" applyFill="1" applyAlignment="1">
      <alignment horizontal="center" vertical="center"/>
    </xf>
    <xf numFmtId="0" fontId="90" fillId="0" borderId="0" xfId="1" applyFont="1" applyAlignment="1">
      <alignment vertical="center"/>
    </xf>
    <xf numFmtId="0" fontId="116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9" fillId="3" borderId="0" xfId="0" applyFont="1" applyFill="1" applyAlignment="1">
      <alignment horizontal="center" vertical="center"/>
    </xf>
    <xf numFmtId="0" fontId="99" fillId="7" borderId="0" xfId="0" applyFont="1" applyFill="1" applyAlignment="1">
      <alignment horizontal="center" vertical="center"/>
    </xf>
    <xf numFmtId="0" fontId="99" fillId="6" borderId="0" xfId="0" applyFont="1" applyFill="1" applyAlignment="1">
      <alignment horizontal="center" vertical="center"/>
    </xf>
    <xf numFmtId="0" fontId="99" fillId="5" borderId="0" xfId="0" applyFont="1" applyFill="1" applyAlignment="1">
      <alignment horizontal="center" vertical="center"/>
    </xf>
    <xf numFmtId="0" fontId="90" fillId="6" borderId="1" xfId="0" applyFont="1" applyFill="1" applyBorder="1" applyAlignment="1">
      <alignment horizontal="center" vertical="center"/>
    </xf>
    <xf numFmtId="0" fontId="112" fillId="5" borderId="1" xfId="0" applyFont="1" applyFill="1" applyBorder="1" applyAlignment="1">
      <alignment horizontal="center" vertical="center"/>
    </xf>
    <xf numFmtId="0" fontId="90" fillId="5" borderId="2" xfId="0" applyFont="1" applyFill="1" applyBorder="1" applyAlignment="1">
      <alignment horizontal="left" vertical="center" indent="1"/>
    </xf>
    <xf numFmtId="0" fontId="90" fillId="5" borderId="4" xfId="0" applyFont="1" applyFill="1" applyBorder="1" applyAlignment="1">
      <alignment horizontal="left" vertical="center" indent="1"/>
    </xf>
    <xf numFmtId="0" fontId="90" fillId="6" borderId="8" xfId="0" applyFont="1" applyFill="1" applyBorder="1" applyAlignment="1">
      <alignment horizontal="center" vertical="center"/>
    </xf>
    <xf numFmtId="0" fontId="112" fillId="5" borderId="8" xfId="0" applyFont="1" applyFill="1" applyBorder="1" applyAlignment="1">
      <alignment horizontal="center" vertical="center"/>
    </xf>
    <xf numFmtId="0" fontId="90" fillId="5" borderId="9" xfId="0" applyFont="1" applyFill="1" applyBorder="1" applyAlignment="1">
      <alignment horizontal="left" vertical="center" indent="1"/>
    </xf>
    <xf numFmtId="0" fontId="122" fillId="0" borderId="9" xfId="0" applyFont="1" applyBorder="1" applyAlignment="1">
      <alignment horizontal="center" vertical="center"/>
    </xf>
    <xf numFmtId="0" fontId="122" fillId="0" borderId="25" xfId="0" applyFont="1" applyBorder="1" applyAlignment="1">
      <alignment horizontal="center" vertical="center" wrapText="1"/>
    </xf>
    <xf numFmtId="0" fontId="122" fillId="0" borderId="25" xfId="0" applyFont="1" applyBorder="1" applyAlignment="1">
      <alignment horizontal="center" vertical="center"/>
    </xf>
    <xf numFmtId="0" fontId="122" fillId="0" borderId="7" xfId="0" applyFont="1" applyBorder="1" applyAlignment="1">
      <alignment horizontal="center" vertical="center"/>
    </xf>
    <xf numFmtId="0" fontId="121" fillId="0" borderId="16" xfId="0" applyFont="1" applyBorder="1" applyAlignment="1">
      <alignment horizontal="left" vertical="center"/>
    </xf>
    <xf numFmtId="0" fontId="121" fillId="0" borderId="12" xfId="0" applyFont="1" applyBorder="1" applyAlignment="1">
      <alignment horizontal="left" vertical="center"/>
    </xf>
    <xf numFmtId="0" fontId="121" fillId="0" borderId="26" xfId="0" applyFont="1" applyBorder="1" applyAlignment="1">
      <alignment horizontal="left" vertical="center"/>
    </xf>
    <xf numFmtId="0" fontId="121" fillId="0" borderId="3" xfId="0" applyFont="1" applyBorder="1" applyAlignment="1">
      <alignment horizontal="left" vertical="center"/>
    </xf>
    <xf numFmtId="0" fontId="121" fillId="0" borderId="14" xfId="0" applyFont="1" applyBorder="1" applyAlignment="1">
      <alignment horizontal="left" vertical="center"/>
    </xf>
    <xf numFmtId="0" fontId="121" fillId="0" borderId="2" xfId="0" applyFont="1" applyBorder="1" applyAlignment="1">
      <alignment horizontal="left" vertical="center"/>
    </xf>
    <xf numFmtId="0" fontId="91" fillId="7" borderId="1" xfId="0" applyFont="1" applyFill="1" applyBorder="1" applyAlignment="1">
      <alignment horizontal="center" vertical="center"/>
    </xf>
    <xf numFmtId="0" fontId="93" fillId="6" borderId="1" xfId="0" applyFont="1" applyFill="1" applyBorder="1" applyAlignment="1">
      <alignment horizontal="center" vertical="center"/>
    </xf>
    <xf numFmtId="0" fontId="92" fillId="4" borderId="1" xfId="0" applyFont="1" applyFill="1" applyBorder="1" applyAlignment="1">
      <alignment horizontal="center" vertical="center"/>
    </xf>
    <xf numFmtId="0" fontId="93" fillId="5" borderId="2" xfId="0" applyFont="1" applyFill="1" applyBorder="1" applyAlignment="1">
      <alignment horizontal="left" vertical="center" indent="1"/>
    </xf>
    <xf numFmtId="0" fontId="91" fillId="7" borderId="0" xfId="0" applyFont="1" applyFill="1" applyAlignment="1">
      <alignment horizontal="center" vertical="center"/>
    </xf>
    <xf numFmtId="0" fontId="93" fillId="6" borderId="0" xfId="0" applyFont="1" applyFill="1" applyAlignment="1">
      <alignment horizontal="center" vertical="center"/>
    </xf>
    <xf numFmtId="0" fontId="92" fillId="4" borderId="0" xfId="0" applyFont="1" applyFill="1" applyAlignment="1">
      <alignment horizontal="center" vertical="center"/>
    </xf>
    <xf numFmtId="0" fontId="93" fillId="5" borderId="4" xfId="0" applyFont="1" applyFill="1" applyBorder="1" applyAlignment="1">
      <alignment horizontal="left" vertical="center" indent="1"/>
    </xf>
    <xf numFmtId="0" fontId="91" fillId="7" borderId="8" xfId="0" applyFont="1" applyFill="1" applyBorder="1" applyAlignment="1">
      <alignment horizontal="center" vertical="center"/>
    </xf>
    <xf numFmtId="0" fontId="93" fillId="6" borderId="8" xfId="0" applyFont="1" applyFill="1" applyBorder="1" applyAlignment="1">
      <alignment horizontal="center" vertical="center"/>
    </xf>
    <xf numFmtId="0" fontId="92" fillId="4" borderId="8" xfId="0" applyFont="1" applyFill="1" applyBorder="1" applyAlignment="1">
      <alignment horizontal="center" vertical="center"/>
    </xf>
    <xf numFmtId="0" fontId="93" fillId="5" borderId="9" xfId="0" applyFont="1" applyFill="1" applyBorder="1" applyAlignment="1">
      <alignment horizontal="left" vertical="center" indent="1"/>
    </xf>
    <xf numFmtId="0" fontId="94" fillId="7" borderId="13" xfId="0" applyFont="1" applyFill="1" applyBorder="1" applyAlignment="1">
      <alignment horizontal="center" vertical="center"/>
    </xf>
    <xf numFmtId="0" fontId="96" fillId="6" borderId="13" xfId="0" applyFont="1" applyFill="1" applyBorder="1" applyAlignment="1">
      <alignment horizontal="center" vertical="center"/>
    </xf>
    <xf numFmtId="0" fontId="95" fillId="4" borderId="13" xfId="0" applyFont="1" applyFill="1" applyBorder="1" applyAlignment="1">
      <alignment horizontal="center" vertical="center"/>
    </xf>
    <xf numFmtId="0" fontId="112" fillId="5" borderId="13" xfId="0" applyFont="1" applyFill="1" applyBorder="1" applyAlignment="1">
      <alignment horizontal="center" vertical="center"/>
    </xf>
    <xf numFmtId="0" fontId="96" fillId="5" borderId="14" xfId="0" applyFont="1" applyFill="1" applyBorder="1" applyAlignment="1">
      <alignment horizontal="left" vertical="center" indent="1"/>
    </xf>
    <xf numFmtId="0" fontId="36" fillId="7" borderId="8" xfId="0" applyFont="1" applyFill="1" applyBorder="1" applyAlignment="1">
      <alignment horizontal="center" vertical="center"/>
    </xf>
    <xf numFmtId="176" fontId="97" fillId="6" borderId="8" xfId="0" applyNumberFormat="1" applyFont="1" applyFill="1" applyBorder="1" applyAlignment="1">
      <alignment horizontal="center" vertical="center"/>
    </xf>
    <xf numFmtId="0" fontId="22" fillId="7" borderId="8" xfId="0" applyFont="1" applyFill="1" applyBorder="1" applyAlignment="1">
      <alignment horizontal="center" vertical="center"/>
    </xf>
    <xf numFmtId="0" fontId="107" fillId="6" borderId="8" xfId="0" applyFont="1" applyFill="1" applyBorder="1" applyAlignment="1">
      <alignment horizontal="center" vertical="center"/>
    </xf>
    <xf numFmtId="0" fontId="106" fillId="4" borderId="8" xfId="0" applyFont="1" applyFill="1" applyBorder="1" applyAlignment="1">
      <alignment horizontal="center" vertical="center"/>
    </xf>
    <xf numFmtId="0" fontId="107" fillId="5" borderId="9" xfId="0" applyFont="1" applyFill="1" applyBorder="1" applyAlignment="1">
      <alignment horizontal="left" vertical="center" indent="1"/>
    </xf>
    <xf numFmtId="0" fontId="123" fillId="5" borderId="1" xfId="0" applyFont="1" applyFill="1" applyBorder="1" applyAlignment="1">
      <alignment horizontal="left" vertical="center" indent="2"/>
    </xf>
    <xf numFmtId="0" fontId="123" fillId="5" borderId="0" xfId="0" applyFont="1" applyFill="1" applyAlignment="1">
      <alignment horizontal="left" vertical="center" indent="2"/>
    </xf>
    <xf numFmtId="0" fontId="123" fillId="5" borderId="8" xfId="0" applyFont="1" applyFill="1" applyBorder="1" applyAlignment="1">
      <alignment horizontal="left" vertical="center" indent="2"/>
    </xf>
    <xf numFmtId="0" fontId="123" fillId="5" borderId="13" xfId="0" applyFont="1" applyFill="1" applyBorder="1" applyAlignment="1">
      <alignment horizontal="left" vertical="center" indent="2"/>
    </xf>
    <xf numFmtId="0" fontId="123" fillId="5" borderId="1" xfId="0" applyFont="1" applyFill="1" applyBorder="1" applyAlignment="1">
      <alignment horizontal="center" vertical="center"/>
    </xf>
    <xf numFmtId="0" fontId="123" fillId="5" borderId="8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center" vertical="center"/>
    </xf>
    <xf numFmtId="0" fontId="117" fillId="0" borderId="0" xfId="1" applyFont="1" applyAlignment="1">
      <alignment vertical="center"/>
    </xf>
    <xf numFmtId="0" fontId="116" fillId="0" borderId="0" xfId="0" applyFont="1" applyAlignment="1">
      <alignment horizontal="center" vertical="center"/>
    </xf>
    <xf numFmtId="0" fontId="117" fillId="0" borderId="0" xfId="1" applyFont="1" applyAlignment="1">
      <alignment horizontal="center" vertical="center"/>
    </xf>
    <xf numFmtId="0" fontId="126" fillId="5" borderId="8" xfId="0" applyFont="1" applyFill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7" fillId="0" borderId="7" xfId="0" applyFont="1" applyBorder="1" applyAlignment="1">
      <alignment horizontal="center" vertical="center"/>
    </xf>
    <xf numFmtId="0" fontId="128" fillId="0" borderId="25" xfId="0" applyFont="1" applyBorder="1" applyAlignment="1">
      <alignment horizontal="center" vertical="center"/>
    </xf>
    <xf numFmtId="0" fontId="130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90" fillId="6" borderId="6" xfId="0" applyFont="1" applyFill="1" applyBorder="1" applyAlignment="1">
      <alignment horizontal="center" vertical="center"/>
    </xf>
    <xf numFmtId="0" fontId="118" fillId="4" borderId="6" xfId="0" applyFont="1" applyFill="1" applyBorder="1" applyAlignment="1">
      <alignment horizontal="center" vertical="center"/>
    </xf>
    <xf numFmtId="0" fontId="112" fillId="5" borderId="6" xfId="0" applyFont="1" applyFill="1" applyBorder="1" applyAlignment="1">
      <alignment horizontal="center" vertical="center"/>
    </xf>
    <xf numFmtId="0" fontId="123" fillId="5" borderId="6" xfId="0" applyFont="1" applyFill="1" applyBorder="1" applyAlignment="1">
      <alignment horizontal="center" vertical="center"/>
    </xf>
    <xf numFmtId="0" fontId="90" fillId="5" borderId="11" xfId="0" applyFont="1" applyFill="1" applyBorder="1" applyAlignment="1">
      <alignment horizontal="left" vertical="center" indent="1"/>
    </xf>
    <xf numFmtId="0" fontId="112" fillId="22" borderId="6" xfId="0" applyFont="1" applyFill="1" applyBorder="1" applyAlignment="1">
      <alignment horizontal="center" vertical="center"/>
    </xf>
    <xf numFmtId="0" fontId="125" fillId="22" borderId="6" xfId="0" applyFont="1" applyFill="1" applyBorder="1" applyAlignment="1">
      <alignment horizontal="center" vertical="center"/>
    </xf>
    <xf numFmtId="0" fontId="115" fillId="6" borderId="0" xfId="0" applyFont="1" applyFill="1" applyAlignment="1">
      <alignment horizontal="center" vertical="center"/>
    </xf>
    <xf numFmtId="0" fontId="90" fillId="5" borderId="11" xfId="0" quotePrefix="1" applyFont="1" applyFill="1" applyBorder="1" applyAlignment="1">
      <alignment horizontal="left" vertical="center" indent="1"/>
    </xf>
    <xf numFmtId="0" fontId="131" fillId="5" borderId="0" xfId="0" applyFont="1" applyFill="1" applyAlignment="1">
      <alignment horizontal="center" vertical="center"/>
    </xf>
    <xf numFmtId="0" fontId="99" fillId="4" borderId="0" xfId="0" applyFont="1" applyFill="1" applyAlignment="1">
      <alignment horizontal="center" vertical="center"/>
    </xf>
    <xf numFmtId="0" fontId="99" fillId="3" borderId="27" xfId="0" applyFont="1" applyFill="1" applyBorder="1" applyAlignment="1">
      <alignment horizontal="center" vertical="center"/>
    </xf>
    <xf numFmtId="0" fontId="99" fillId="5" borderId="28" xfId="0" applyFont="1" applyFill="1" applyBorder="1" applyAlignment="1">
      <alignment horizontal="center" vertical="center"/>
    </xf>
    <xf numFmtId="0" fontId="132" fillId="0" borderId="0" xfId="1" applyFont="1" applyAlignment="1">
      <alignment horizontal="left"/>
    </xf>
    <xf numFmtId="0" fontId="133" fillId="0" borderId="0" xfId="1" applyFont="1"/>
    <xf numFmtId="0" fontId="134" fillId="0" borderId="0" xfId="1" applyFont="1"/>
    <xf numFmtId="0" fontId="135" fillId="0" borderId="0" xfId="1" applyFont="1" applyAlignment="1">
      <alignment horizontal="left"/>
    </xf>
    <xf numFmtId="0" fontId="133" fillId="0" borderId="0" xfId="1" applyFont="1" applyAlignment="1" applyProtection="1">
      <alignment horizontal="center" vertical="center"/>
      <protection locked="0"/>
    </xf>
    <xf numFmtId="0" fontId="133" fillId="0" borderId="0" xfId="1" applyFont="1" applyAlignment="1">
      <alignment horizontal="center" vertical="center"/>
    </xf>
    <xf numFmtId="0" fontId="134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39" fillId="0" borderId="0" xfId="1" applyFont="1" applyAlignment="1">
      <alignment horizontal="center" vertical="center"/>
    </xf>
    <xf numFmtId="0" fontId="108" fillId="4" borderId="0" xfId="1" applyFont="1" applyFill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49" fontId="137" fillId="0" borderId="0" xfId="1" applyNumberFormat="1" applyFont="1" applyAlignment="1">
      <alignment horizontal="center" vertical="center"/>
    </xf>
    <xf numFmtId="177" fontId="140" fillId="6" borderId="20" xfId="2" applyNumberFormat="1" applyFont="1" applyFill="1" applyBorder="1" applyAlignment="1">
      <alignment horizontal="center" vertical="center"/>
    </xf>
    <xf numFmtId="177" fontId="141" fillId="6" borderId="22" xfId="2" applyNumberFormat="1" applyFont="1" applyFill="1" applyBorder="1" applyAlignment="1">
      <alignment horizontal="center" vertical="center"/>
    </xf>
    <xf numFmtId="0" fontId="142" fillId="6" borderId="0" xfId="0" applyFont="1" applyFill="1" applyAlignment="1">
      <alignment horizontal="center" vertical="center"/>
    </xf>
    <xf numFmtId="0" fontId="142" fillId="5" borderId="0" xfId="0" applyFont="1" applyFill="1" applyAlignment="1">
      <alignment horizontal="left" vertical="center" indent="3"/>
    </xf>
    <xf numFmtId="0" fontId="143" fillId="4" borderId="0" xfId="0" applyFont="1" applyFill="1" applyAlignment="1">
      <alignment horizontal="center" vertical="center"/>
    </xf>
    <xf numFmtId="177" fontId="143" fillId="4" borderId="0" xfId="0" applyNumberFormat="1" applyFont="1" applyFill="1" applyAlignment="1">
      <alignment horizontal="center" vertical="center"/>
    </xf>
    <xf numFmtId="177" fontId="140" fillId="7" borderId="20" xfId="2" applyNumberFormat="1" applyFont="1" applyFill="1" applyBorder="1" applyAlignment="1">
      <alignment horizontal="center" vertical="center"/>
    </xf>
    <xf numFmtId="177" fontId="141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177" fontId="59" fillId="7" borderId="21" xfId="2" applyNumberFormat="1" applyFont="1" applyFill="1" applyBorder="1" applyAlignment="1">
      <alignment horizontal="right" vertical="center"/>
    </xf>
    <xf numFmtId="0" fontId="56" fillId="6" borderId="0" xfId="2" applyFont="1" applyFill="1" applyAlignment="1">
      <alignment horizontal="center" vertical="center"/>
    </xf>
    <xf numFmtId="0" fontId="145" fillId="0" borderId="0" xfId="0" applyFont="1"/>
    <xf numFmtId="0" fontId="14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7" fillId="0" borderId="29" xfId="0" applyFont="1" applyBorder="1" applyAlignment="1">
      <alignment horizontal="center" vertical="center"/>
    </xf>
    <xf numFmtId="0" fontId="0" fillId="0" borderId="29" xfId="0" applyBorder="1"/>
    <xf numFmtId="0" fontId="119" fillId="0" borderId="29" xfId="0" applyFont="1" applyBorder="1" applyAlignment="1">
      <alignment horizontal="center" vertical="center"/>
    </xf>
    <xf numFmtId="0" fontId="116" fillId="0" borderId="30" xfId="0" applyFont="1" applyBorder="1"/>
    <xf numFmtId="0" fontId="150" fillId="13" borderId="30" xfId="0" applyFont="1" applyFill="1" applyBorder="1" applyAlignment="1">
      <alignment horizontal="left" vertical="center"/>
    </xf>
    <xf numFmtId="0" fontId="119" fillId="0" borderId="0" xfId="0" applyFont="1" applyAlignment="1">
      <alignment horizontal="left" vertical="center"/>
    </xf>
    <xf numFmtId="0" fontId="151" fillId="13" borderId="30" xfId="0" applyFont="1" applyFill="1" applyBorder="1" applyAlignment="1">
      <alignment horizontal="center" vertical="center"/>
    </xf>
    <xf numFmtId="0" fontId="149" fillId="13" borderId="30" xfId="0" applyFont="1" applyFill="1" applyBorder="1" applyAlignment="1">
      <alignment horizontal="left" vertical="center"/>
    </xf>
    <xf numFmtId="0" fontId="155" fillId="0" borderId="0" xfId="0" applyFont="1" applyAlignment="1">
      <alignment horizontal="left" vertical="center"/>
    </xf>
    <xf numFmtId="0" fontId="156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58" fillId="6" borderId="1" xfId="0" applyFont="1" applyFill="1" applyBorder="1" applyAlignment="1">
      <alignment horizontal="center" vertical="center"/>
    </xf>
    <xf numFmtId="0" fontId="158" fillId="6" borderId="0" xfId="0" applyFont="1" applyFill="1" applyAlignment="1">
      <alignment horizontal="center" vertical="center"/>
    </xf>
    <xf numFmtId="0" fontId="158" fillId="6" borderId="8" xfId="0" applyFont="1" applyFill="1" applyBorder="1" applyAlignment="1">
      <alignment horizontal="center" vertical="center"/>
    </xf>
    <xf numFmtId="0" fontId="159" fillId="6" borderId="13" xfId="0" applyFont="1" applyFill="1" applyBorder="1" applyAlignment="1">
      <alignment horizontal="center" vertical="center"/>
    </xf>
    <xf numFmtId="176" fontId="160" fillId="6" borderId="8" xfId="0" applyNumberFormat="1" applyFont="1" applyFill="1" applyBorder="1" applyAlignment="1">
      <alignment horizontal="center" vertical="center"/>
    </xf>
    <xf numFmtId="0" fontId="161" fillId="6" borderId="8" xfId="0" applyFont="1" applyFill="1" applyBorder="1" applyAlignment="1">
      <alignment horizontal="center" vertical="center"/>
    </xf>
    <xf numFmtId="0" fontId="161" fillId="6" borderId="0" xfId="0" applyFont="1" applyFill="1" applyAlignment="1">
      <alignment horizontal="center" vertical="center"/>
    </xf>
    <xf numFmtId="0" fontId="162" fillId="0" borderId="0" xfId="1" applyFont="1" applyAlignment="1">
      <alignment horizontal="left" vertical="center" indent="1"/>
    </xf>
    <xf numFmtId="0" fontId="163" fillId="0" borderId="0" xfId="1" applyFont="1" applyAlignment="1">
      <alignment horizontal="left" vertical="center" indent="1"/>
    </xf>
    <xf numFmtId="0" fontId="164" fillId="6" borderId="15" xfId="0" applyFont="1" applyFill="1" applyBorder="1" applyAlignment="1">
      <alignment horizontal="center" vertical="center"/>
    </xf>
    <xf numFmtId="0" fontId="165" fillId="6" borderId="0" xfId="0" applyFont="1" applyFill="1" applyAlignment="1">
      <alignment horizontal="center" vertical="center"/>
    </xf>
    <xf numFmtId="0" fontId="133" fillId="2" borderId="0" xfId="1" applyFont="1" applyFill="1" applyAlignment="1">
      <alignment vertical="center"/>
    </xf>
    <xf numFmtId="0" fontId="166" fillId="5" borderId="0" xfId="0" applyFont="1" applyFill="1" applyAlignment="1">
      <alignment horizontal="center" vertical="center"/>
    </xf>
    <xf numFmtId="0" fontId="156" fillId="0" borderId="0" xfId="0" applyFont="1" applyAlignment="1">
      <alignment horizontal="center"/>
    </xf>
    <xf numFmtId="0" fontId="16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8" fillId="24" borderId="0" xfId="0" applyFont="1" applyFill="1" applyAlignment="1">
      <alignment horizontal="center" vertical="center"/>
    </xf>
    <xf numFmtId="0" fontId="168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6" fillId="0" borderId="1" xfId="0" applyFont="1" applyBorder="1" applyAlignment="1">
      <alignment horizontal="center"/>
    </xf>
    <xf numFmtId="0" fontId="168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8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6" fillId="0" borderId="8" xfId="0" applyFont="1" applyBorder="1" applyAlignment="1">
      <alignment horizontal="center"/>
    </xf>
    <xf numFmtId="0" fontId="168" fillId="0" borderId="9" xfId="0" applyFont="1" applyBorder="1" applyAlignment="1">
      <alignment horizontal="center" vertical="center"/>
    </xf>
    <xf numFmtId="0" fontId="89" fillId="0" borderId="0" xfId="0" applyFont="1" applyAlignment="1">
      <alignment horizontal="center" vertical="center"/>
    </xf>
    <xf numFmtId="0" fontId="169" fillId="0" borderId="0" xfId="0" applyFont="1" applyAlignment="1">
      <alignment horizontal="center"/>
    </xf>
    <xf numFmtId="0" fontId="97" fillId="6" borderId="0" xfId="0" applyFont="1" applyFill="1" applyAlignment="1">
      <alignment horizontal="center" vertical="center"/>
    </xf>
    <xf numFmtId="0" fontId="170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6" fillId="0" borderId="13" xfId="0" applyFont="1" applyBorder="1" applyAlignment="1">
      <alignment horizontal="center"/>
    </xf>
    <xf numFmtId="0" fontId="90" fillId="6" borderId="13" xfId="0" applyFont="1" applyFill="1" applyBorder="1" applyAlignment="1">
      <alignment horizontal="center" vertical="center"/>
    </xf>
    <xf numFmtId="0" fontId="168" fillId="0" borderId="14" xfId="0" applyFont="1" applyBorder="1" applyAlignment="1">
      <alignment horizontal="center" vertical="center"/>
    </xf>
    <xf numFmtId="0" fontId="103" fillId="0" borderId="0" xfId="1" applyFont="1"/>
    <xf numFmtId="0" fontId="171" fillId="0" borderId="0" xfId="0" applyFont="1" applyAlignment="1">
      <alignment horizontal="center" vertical="center"/>
    </xf>
    <xf numFmtId="0" fontId="172" fillId="0" borderId="0" xfId="0" applyFont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174" fillId="2" borderId="0" xfId="1" applyFont="1" applyFill="1"/>
    <xf numFmtId="0" fontId="174" fillId="2" borderId="0" xfId="1" applyFont="1" applyFill="1" applyAlignment="1">
      <alignment vertical="center"/>
    </xf>
    <xf numFmtId="0" fontId="174" fillId="2" borderId="0" xfId="1" applyFont="1" applyFill="1" applyAlignment="1">
      <alignment horizontal="left" vertical="center" indent="1"/>
    </xf>
    <xf numFmtId="0" fontId="174" fillId="0" borderId="0" xfId="1" applyFont="1"/>
    <xf numFmtId="0" fontId="174" fillId="0" borderId="0" xfId="1" applyFont="1" applyAlignment="1">
      <alignment vertical="center"/>
    </xf>
    <xf numFmtId="0" fontId="174" fillId="0" borderId="0" xfId="1" applyFont="1" applyAlignment="1">
      <alignment horizontal="left" vertical="center" indent="1"/>
    </xf>
    <xf numFmtId="0" fontId="175" fillId="0" borderId="0" xfId="1" applyFont="1"/>
    <xf numFmtId="0" fontId="176" fillId="0" borderId="0" xfId="1" applyFont="1"/>
    <xf numFmtId="0" fontId="177" fillId="6" borderId="6" xfId="0" applyFont="1" applyFill="1" applyBorder="1" applyAlignment="1">
      <alignment horizontal="center" vertical="center"/>
    </xf>
    <xf numFmtId="0" fontId="178" fillId="6" borderId="6" xfId="0" applyFont="1" applyFill="1" applyBorder="1" applyAlignment="1">
      <alignment horizontal="center" vertical="center"/>
    </xf>
    <xf numFmtId="0" fontId="179" fillId="0" borderId="0" xfId="0" applyFont="1" applyAlignment="1">
      <alignment horizontal="left"/>
    </xf>
    <xf numFmtId="0" fontId="138" fillId="0" borderId="0" xfId="1" applyFont="1" applyAlignment="1">
      <alignment horizontal="left" vertical="center"/>
    </xf>
    <xf numFmtId="0" fontId="113" fillId="0" borderId="0" xfId="0" applyFont="1" applyAlignment="1">
      <alignment horizontal="center" vertical="center"/>
    </xf>
    <xf numFmtId="0" fontId="114" fillId="0" borderId="0" xfId="0" quotePrefix="1" applyFont="1" applyAlignment="1">
      <alignment horizontal="center" vertical="center"/>
    </xf>
    <xf numFmtId="0" fontId="18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1" fillId="0" borderId="0" xfId="0" applyFont="1"/>
    <xf numFmtId="0" fontId="181" fillId="0" borderId="0" xfId="0" applyFont="1" applyAlignment="1">
      <alignment horizontal="center"/>
    </xf>
    <xf numFmtId="0" fontId="182" fillId="0" borderId="0" xfId="0" applyFont="1"/>
    <xf numFmtId="0" fontId="183" fillId="0" borderId="0" xfId="0" applyFont="1" applyAlignment="1">
      <alignment horizontal="center"/>
    </xf>
    <xf numFmtId="0" fontId="173" fillId="0" borderId="0" xfId="1" applyFont="1" applyAlignment="1">
      <alignment horizontal="center" vertical="center"/>
    </xf>
    <xf numFmtId="0" fontId="184" fillId="0" borderId="0" xfId="0" applyFont="1" applyAlignment="1">
      <alignment horizontal="center" vertical="center"/>
    </xf>
    <xf numFmtId="0" fontId="155" fillId="0" borderId="0" xfId="0" applyFont="1" applyAlignment="1">
      <alignment horizontal="center" vertical="center"/>
    </xf>
    <xf numFmtId="0" fontId="185" fillId="21" borderId="0" xfId="0" applyFont="1" applyFill="1"/>
    <xf numFmtId="0" fontId="148" fillId="23" borderId="29" xfId="0" applyFont="1" applyFill="1" applyBorder="1" applyAlignment="1">
      <alignment horizontal="center" vertic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62" fillId="14" borderId="22" xfId="2" applyFont="1" applyFill="1" applyBorder="1" applyAlignment="1">
      <alignment horizontal="center"/>
    </xf>
    <xf numFmtId="0" fontId="62" fillId="14" borderId="23" xfId="2" applyFont="1" applyFill="1" applyBorder="1" applyAlignment="1">
      <alignment horizontal="center"/>
    </xf>
    <xf numFmtId="0" fontId="28" fillId="14" borderId="22" xfId="2" applyFont="1" applyFill="1" applyBorder="1" applyAlignment="1">
      <alignment horizontal="center"/>
    </xf>
    <xf numFmtId="0" fontId="28" fillId="14" borderId="23" xfId="2" applyFont="1" applyFill="1" applyBorder="1" applyAlignment="1">
      <alignment horizontal="center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75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74" tableBorderDxfId="73">
  <autoFilter ref="B2:K54" xr:uid="{779076CF-6DEF-4E4E-89FE-E37B7352A3DC}"/>
  <tableColumns count="10">
    <tableColumn id="1" xr3:uid="{7ED75D5E-652B-4A3F-A63F-E28CD639A2D8}" name="序號" dataDxfId="72">
      <calculatedColumnFormula>ROW() - 2</calculatedColumnFormula>
    </tableColumn>
    <tableColumn id="2" xr3:uid="{A7CD0E37-FA88-4B7F-9344-02DCFD03CA57}" name="鍵盤按鍵" dataDxfId="71">
      <calculatedColumnFormula xml:space="preserve"> IFERROR( INDEX(#REF!, MATCH($AE3,#REF!, 0)), "")</calculatedColumnFormula>
    </tableColumn>
    <tableColumn id="4" xr3:uid="{529434D2-88AB-4124-93AE-208E9AF52CB4}" name="注音符號" dataDxfId="70"/>
    <tableColumn id="3" xr3:uid="{5803CFB3-58F1-42C5-8A9B-67D4C055A271}" name="注音編碼" dataDxfId="69">
      <calculatedColumnFormula xml:space="preserve"> IFERROR( INDEX(#REF!, MATCH($AE3,#REF!, 0)), "")</calculatedColumnFormula>
    </tableColumn>
    <tableColumn id="7" xr3:uid="{F4C14CB4-A82C-41D9-AF30-BE553CA46FA3}" name="國際音標" dataDxfId="68"/>
    <tableColumn id="6" xr3:uid="{5020FE3A-F6A8-4B02-9B83-6BADE97A0BE0}" name="台語音標" dataDxfId="67"/>
    <tableColumn id="9" xr3:uid="{09D9CE2F-FF7F-4954-9029-DC42E2224DD4}" name="台語音標注音" dataDxfId="66"/>
    <tableColumn id="10" xr3:uid="{0FA99F42-9398-4A91-9911-E2C2A825F7F4}" name="台語ㄅㄆㄇ" dataDxfId="65"/>
    <tableColumn id="5" xr3:uid="{A0645D5D-DBED-4761-A763-4D6D5538C014}" name="我的注音符號" dataDxfId="64"/>
    <tableColumn id="8" xr3:uid="{66F8B891-9FE4-45B3-8BD8-51BA7DD3D43F}" name="組合符號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62" dataDxfId="60" headerRowBorderDxfId="61" tableBorderDxfId="59" totalsRowBorderDxfId="58">
  <autoFilter ref="M2:S8" xr:uid="{6A40958B-9384-4E59-AE7A-3C944257DC11}"/>
  <tableColumns count="7">
    <tableColumn id="1" xr3:uid="{8F368751-5DB2-45B7-AEA8-1EA789D18D9E}" name="發音部位" dataDxfId="57"/>
    <tableColumn id="2" xr3:uid="{565C2DE6-6770-43E6-8E08-95DB3D74F449}" name="塞音_x000a_(不送氣)" dataDxfId="56"/>
    <tableColumn id="3" xr3:uid="{C60AB197-3C88-4553-AC8F-FA44CBAED771}" name="塞音_x000a_(送氣)" dataDxfId="55"/>
    <tableColumn id="4" xr3:uid="{D3AC809B-436F-4540-B125-7D7963B95663}" name="濁音" dataDxfId="54"/>
    <tableColumn id="5" xr3:uid="{E45EF470-ADED-4F00-ADA7-0F1E5230D10E}" name="鼻音" dataDxfId="53"/>
    <tableColumn id="6" xr3:uid="{67CD2B7D-B586-43C6-A726-BDF60FE9AE6C}" name="擦音" dataDxfId="52"/>
    <tableColumn id="7" xr3:uid="{0BF3A333-A1A0-4499-BCC9-FE62942F95E5}" name="邊音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0" dataDxfId="49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48">
      <calculatedColumnFormula xml:space="preserve"> J3</calculatedColumnFormula>
    </tableColumn>
    <tableColumn id="4" xr3:uid="{7407D282-3312-489C-B29B-19D43E4E79D6}" name="注音編碼" dataDxfId="47" dataCellStyle="一般 4">
      <calculatedColumnFormula>I3</calculatedColumnFormula>
    </tableColumn>
    <tableColumn id="2" xr3:uid="{DAFEC160-B656-4EE0-9837-61A87BB277BC}" name="台語ㄅㄆㄇ" dataDxfId="46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45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4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3">
      <calculatedColumnFormula>H3</calculatedColumnFormula>
    </tableColumn>
    <tableColumn id="4" xr3:uid="{52141FD4-4282-4655-8FDB-25D018179FEA}" name="字典編碼" dataDxfId="42" dataCellStyle="一般 4">
      <calculatedColumnFormula>G3</calculatedColumnFormula>
    </tableColumn>
    <tableColumn id="2" xr3:uid="{59B967E3-C71C-4CF6-991D-C8F093BAB101}" name="方音符號" dataDxfId="41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0" dataDxfId="38" headerRowBorderDxfId="39" tableBorderDxfId="37" totalsRowBorderDxfId="36">
  <autoFilter ref="B3:H9" xr:uid="{CB332761-5FFA-4AA1-A510-7EB68827E47D}"/>
  <tableColumns count="7">
    <tableColumn id="1" xr3:uid="{D99DF20F-51FB-47D5-B4CC-DA04A48AAC2D}" name="發音部位" dataDxfId="35"/>
    <tableColumn id="2" xr3:uid="{6BC15A71-E0D5-404C-A6A6-8B01367E9B89}" name="塞音(不送氣)" dataDxfId="34"/>
    <tableColumn id="3" xr3:uid="{44295C3E-0304-4D25-AA15-E5C51BA36FD4}" name="塞音(送氣)" dataDxfId="33"/>
    <tableColumn id="4" xr3:uid="{F4CC72CD-7170-4DE4-8D5A-C18C426CA527}" name="濁音" dataDxfId="32"/>
    <tableColumn id="5" xr3:uid="{CE151E5C-E9DA-4A02-AD63-353CCFA6087C}" name="鼻音" dataDxfId="31"/>
    <tableColumn id="6" xr3:uid="{69AB656D-E99F-4EEB-9854-42DF77ECEB05}" name="擦音" dataDxfId="30"/>
    <tableColumn id="7" xr3:uid="{F61BA027-9E56-47A1-8224-3F0734C11F32}" name="邊音" dataDxfId="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8" dataDxfId="26" headerRowBorderDxfId="27" tableBorderDxfId="25" totalsRowBorderDxfId="24">
  <tableColumns count="20">
    <tableColumn id="1" xr3:uid="{D5BB5D32-B8B3-4985-99FE-4CAE416F8896}" name="韻腹" dataDxfId="23"/>
    <tableColumn id="2" xr3:uid="{2E75F452-C9EB-485A-898D-31B0B52F386A}" name="a" dataDxfId="22"/>
    <tableColumn id="3" xr3:uid="{232D45FA-6A65-4DC6-83E0-957B07FDBA26}" name="aɪ" dataDxfId="21"/>
    <tableColumn id="4" xr3:uid="{70955649-D6B5-40D6-8690-B978B91DB6A6}" name="aʊ" dataDxfId="20"/>
    <tableColumn id="5" xr3:uid="{17517C7F-5843-41D1-B4A0-D822E2A05A3F}" name="e" dataDxfId="19"/>
    <tableColumn id="6" xr3:uid="{A32FB388-F51D-4A09-8143-A8FE8C2735DE}" name="i" dataDxfId="18"/>
    <tableColumn id="7" xr3:uid="{0E349367-F4AB-4C53-8AD3-78E3A14DA801}" name="ɪa" dataDxfId="17"/>
    <tableColumn id="8" xr3:uid="{79DEC6A5-E8D0-4D21-9F9D-F46FE120B69D}" name="ɪaʊ" dataDxfId="16"/>
    <tableColumn id="9" xr3:uid="{9744BF02-11F5-4A49-94C9-F7ABD46F3CF7}" name="ɪə" dataDxfId="15"/>
    <tableColumn id="10" xr3:uid="{7ECBA68D-4E2D-4AE6-95E9-14B150FB60F3}" name="ɪɔ" dataDxfId="14"/>
    <tableColumn id="11" xr3:uid="{AA74AB0B-66F4-4084-A3FE-D313C4537337}" name="iu" dataDxfId="13"/>
    <tableColumn id="12" xr3:uid="{952CA3C9-B72B-4B4A-8975-0116A219DC35}" name="ə" dataDxfId="12"/>
    <tableColumn id="13" xr3:uid="{889BAAAD-336F-4D7B-A274-546C3C9BAC2F}" name="ɔ" dataDxfId="11"/>
    <tableColumn id="14" xr3:uid="{91C2AF01-8439-4A47-A026-6CDF055DF255}" name="u" dataDxfId="10"/>
    <tableColumn id="15" xr3:uid="{5AC88F01-3D1A-4AB5-A9A0-C569C4DDA3AA}" name="ua" dataDxfId="9"/>
    <tableColumn id="16" xr3:uid="{53FD8BAA-0AD0-4BA5-A488-E8FBF6E3B776}" name="uaɪ" dataDxfId="8"/>
    <tableColumn id="17" xr3:uid="{AA997DB6-667B-42B6-9983-F5C6536CECFC}" name="ue" dataDxfId="7"/>
    <tableColumn id="18" xr3:uid="{07146182-EDC0-48F7-B098-DF65D5099290}" name="ui" dataDxfId="6"/>
    <tableColumn id="19" xr3:uid="{C0F0792E-1F02-4269-AD48-9C7CAC2FFDA8}" name="m̩" dataDxfId="5"/>
    <tableColumn id="20" xr3:uid="{CC92EBF2-6977-48AE-A3D3-E116BF9C29F9}" name="ŋ̍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tabSelected="1" workbookViewId="0">
      <pane ySplit="2" topLeftCell="A36" activePane="bottomLeft" state="frozen"/>
      <selection pane="bottomLeft" activeCell="D47" sqref="D47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313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313"/>
      <c r="L1"/>
      <c r="M1"/>
      <c r="N1"/>
    </row>
    <row r="2" spans="2:19" ht="33">
      <c r="B2" s="261" t="s">
        <v>14</v>
      </c>
      <c r="C2" s="262" t="s">
        <v>19</v>
      </c>
      <c r="D2" s="332" t="s">
        <v>260</v>
      </c>
      <c r="E2" s="263" t="s">
        <v>380</v>
      </c>
      <c r="F2" s="264" t="s">
        <v>504</v>
      </c>
      <c r="G2" s="264" t="s">
        <v>263</v>
      </c>
      <c r="H2" s="263" t="s">
        <v>592</v>
      </c>
      <c r="I2" s="263" t="s">
        <v>1498</v>
      </c>
      <c r="J2" s="392" t="s">
        <v>1511</v>
      </c>
      <c r="K2" s="264" t="s">
        <v>567</v>
      </c>
      <c r="L2"/>
      <c r="M2" s="272" t="s">
        <v>487</v>
      </c>
      <c r="N2" s="273" t="s">
        <v>502</v>
      </c>
      <c r="O2" s="273" t="s">
        <v>503</v>
      </c>
      <c r="P2" s="274" t="s">
        <v>456</v>
      </c>
      <c r="Q2" s="274" t="s">
        <v>457</v>
      </c>
      <c r="R2" s="274" t="s">
        <v>458</v>
      </c>
      <c r="S2" s="275" t="s">
        <v>459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5" t="s">
        <v>178</v>
      </c>
      <c r="F3" s="305" t="s">
        <v>505</v>
      </c>
      <c r="G3" s="267" t="s">
        <v>178</v>
      </c>
      <c r="H3" s="377" t="s">
        <v>20</v>
      </c>
      <c r="I3" s="377" t="s">
        <v>20</v>
      </c>
      <c r="J3" s="266" t="s">
        <v>20</v>
      </c>
      <c r="K3" s="266"/>
      <c r="L3"/>
      <c r="M3" s="280" t="s">
        <v>460</v>
      </c>
      <c r="N3" s="276" t="s">
        <v>461</v>
      </c>
      <c r="O3" s="276" t="s">
        <v>462</v>
      </c>
      <c r="P3" s="276" t="s">
        <v>463</v>
      </c>
      <c r="Q3" s="276" t="s">
        <v>464</v>
      </c>
      <c r="R3" s="276"/>
      <c r="S3" s="277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270</v>
      </c>
      <c r="F4" s="306" t="s">
        <v>517</v>
      </c>
      <c r="G4" s="268" t="s">
        <v>266</v>
      </c>
      <c r="H4" s="378" t="s">
        <v>23</v>
      </c>
      <c r="I4" s="378" t="s">
        <v>23</v>
      </c>
      <c r="J4" s="241" t="s">
        <v>23</v>
      </c>
      <c r="K4" s="241"/>
      <c r="L4"/>
      <c r="M4" s="280" t="s">
        <v>465</v>
      </c>
      <c r="N4" s="276" t="s">
        <v>466</v>
      </c>
      <c r="O4" s="276" t="s">
        <v>467</v>
      </c>
      <c r="P4" s="276"/>
      <c r="Q4" s="276" t="s">
        <v>468</v>
      </c>
      <c r="R4" s="276"/>
      <c r="S4" s="277" t="s">
        <v>469</v>
      </c>
    </row>
    <row r="5" spans="2:19" ht="32.25">
      <c r="B5" s="31">
        <f t="shared" si="0"/>
        <v>3</v>
      </c>
      <c r="C5" s="71" t="s">
        <v>268</v>
      </c>
      <c r="D5" s="32" t="s">
        <v>27</v>
      </c>
      <c r="E5" s="192" t="s">
        <v>165</v>
      </c>
      <c r="F5" s="306" t="s">
        <v>507</v>
      </c>
      <c r="G5" s="268" t="s">
        <v>165</v>
      </c>
      <c r="H5" s="378" t="s">
        <v>581</v>
      </c>
      <c r="I5" s="378" t="s">
        <v>27</v>
      </c>
      <c r="J5" s="241" t="s">
        <v>427</v>
      </c>
      <c r="K5" s="241"/>
      <c r="L5"/>
      <c r="M5" s="280" t="s">
        <v>470</v>
      </c>
      <c r="N5" s="276" t="s">
        <v>471</v>
      </c>
      <c r="O5" s="276" t="s">
        <v>472</v>
      </c>
      <c r="P5" s="276" t="s">
        <v>473</v>
      </c>
      <c r="Q5" s="276"/>
      <c r="R5" s="276" t="s">
        <v>474</v>
      </c>
      <c r="S5" s="277"/>
    </row>
    <row r="6" spans="2:19" ht="32.25">
      <c r="B6" s="41">
        <f t="shared" si="0"/>
        <v>4</v>
      </c>
      <c r="C6" s="73" t="s">
        <v>247</v>
      </c>
      <c r="D6" s="42" t="s">
        <v>83</v>
      </c>
      <c r="E6" s="269" t="s">
        <v>142</v>
      </c>
      <c r="F6" s="307" t="s">
        <v>506</v>
      </c>
      <c r="G6" s="271" t="s">
        <v>142</v>
      </c>
      <c r="H6" s="379" t="s">
        <v>83</v>
      </c>
      <c r="I6" s="379" t="s">
        <v>83</v>
      </c>
      <c r="J6" s="270" t="s">
        <v>83</v>
      </c>
      <c r="K6" s="270"/>
      <c r="L6"/>
      <c r="M6" s="280" t="s">
        <v>475</v>
      </c>
      <c r="N6" s="276" t="s">
        <v>476</v>
      </c>
      <c r="O6" s="276" t="s">
        <v>477</v>
      </c>
      <c r="P6" s="276" t="s">
        <v>478</v>
      </c>
      <c r="Q6" s="276"/>
      <c r="R6" s="276" t="s">
        <v>479</v>
      </c>
      <c r="S6" s="277"/>
    </row>
    <row r="7" spans="2:19" ht="32.25">
      <c r="B7" s="25">
        <f t="shared" si="0"/>
        <v>5</v>
      </c>
      <c r="C7" s="96" t="s">
        <v>245</v>
      </c>
      <c r="D7" s="26" t="s">
        <v>29</v>
      </c>
      <c r="E7" s="265" t="s">
        <v>30</v>
      </c>
      <c r="F7" s="305" t="s">
        <v>508</v>
      </c>
      <c r="G7" s="267" t="s">
        <v>30</v>
      </c>
      <c r="H7" s="377" t="s">
        <v>29</v>
      </c>
      <c r="I7" s="377" t="s">
        <v>29</v>
      </c>
      <c r="J7" s="266" t="s">
        <v>29</v>
      </c>
      <c r="K7" s="266"/>
      <c r="L7"/>
      <c r="M7" s="280" t="s">
        <v>480</v>
      </c>
      <c r="N7" s="276" t="s">
        <v>481</v>
      </c>
      <c r="O7" s="276" t="s">
        <v>482</v>
      </c>
      <c r="P7" s="276" t="s">
        <v>483</v>
      </c>
      <c r="Q7" s="276" t="s">
        <v>484</v>
      </c>
      <c r="R7" s="276"/>
      <c r="S7" s="277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275</v>
      </c>
      <c r="F8" s="306" t="s">
        <v>518</v>
      </c>
      <c r="G8" s="268" t="s">
        <v>32</v>
      </c>
      <c r="H8" s="378" t="s">
        <v>31</v>
      </c>
      <c r="I8" s="378" t="s">
        <v>31</v>
      </c>
      <c r="J8" s="241" t="s">
        <v>31</v>
      </c>
      <c r="K8" s="241"/>
      <c r="L8"/>
      <c r="M8" s="281" t="s">
        <v>485</v>
      </c>
      <c r="N8" s="278"/>
      <c r="O8" s="278"/>
      <c r="P8" s="278"/>
      <c r="Q8" s="278"/>
      <c r="R8" s="278" t="s">
        <v>486</v>
      </c>
      <c r="S8" s="279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306" t="s">
        <v>509</v>
      </c>
      <c r="G9" s="268" t="s">
        <v>34</v>
      </c>
      <c r="H9" s="378" t="s">
        <v>33</v>
      </c>
      <c r="I9" s="378" t="s">
        <v>33</v>
      </c>
      <c r="J9" s="241" t="s">
        <v>33</v>
      </c>
      <c r="K9" s="241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9" t="s">
        <v>86</v>
      </c>
      <c r="F10" s="307" t="s">
        <v>510</v>
      </c>
      <c r="G10" s="271" t="s">
        <v>86</v>
      </c>
      <c r="H10" s="379" t="s">
        <v>85</v>
      </c>
      <c r="I10" s="379" t="s">
        <v>85</v>
      </c>
      <c r="J10" s="270" t="s">
        <v>85</v>
      </c>
      <c r="K10" s="270"/>
      <c r="L10"/>
      <c r="M10" s="360" t="s">
        <v>596</v>
      </c>
      <c r="N10"/>
    </row>
    <row r="11" spans="2:19" ht="44.25">
      <c r="B11" s="25">
        <f t="shared" ref="B11:B14" si="1">ROW() - 2</f>
        <v>9</v>
      </c>
      <c r="C11" s="282" t="s">
        <v>381</v>
      </c>
      <c r="D11" s="284" t="s">
        <v>43</v>
      </c>
      <c r="E11" s="283" t="s">
        <v>158</v>
      </c>
      <c r="F11" s="305" t="s">
        <v>512</v>
      </c>
      <c r="G11" s="285" t="s">
        <v>158</v>
      </c>
      <c r="H11" s="380" t="s">
        <v>43</v>
      </c>
      <c r="I11" s="380" t="s">
        <v>43</v>
      </c>
      <c r="J11" s="266" t="s">
        <v>43</v>
      </c>
      <c r="K11" s="266"/>
      <c r="L11"/>
      <c r="M11" s="361" cm="1">
        <f t="array" ref="M11" xml:space="preserve"> ROW() - ROW($10:$10)</f>
        <v>1</v>
      </c>
      <c r="N11" s="361" t="str">
        <f t="shared" ref="N11:N16" si="2" xml:space="preserve"> MID($M$10, M11, 1)</f>
        <v>t</v>
      </c>
      <c r="O11" s="190" t="str" cm="1">
        <f t="array" ref="O11" xml:space="preserve"> INDEX(注音編碼對照表[注音符號], MATCH(TRUE, EXACT(N11, 注音編碼對照表[台語音標]), 0))</f>
        <v>ㄉ</v>
      </c>
      <c r="P11" s="361"/>
      <c r="Q11" s="361"/>
      <c r="R11" s="361"/>
      <c r="S11" s="361"/>
    </row>
    <row r="12" spans="2:19" ht="44.25">
      <c r="B12" s="31">
        <f t="shared" si="1"/>
        <v>10</v>
      </c>
      <c r="C12" s="286" t="s">
        <v>282</v>
      </c>
      <c r="D12" s="288" t="s">
        <v>46</v>
      </c>
      <c r="E12" s="287" t="s">
        <v>223</v>
      </c>
      <c r="F12" s="306" t="s">
        <v>511</v>
      </c>
      <c r="G12" s="289" t="s">
        <v>223</v>
      </c>
      <c r="H12" s="381" t="s">
        <v>46</v>
      </c>
      <c r="I12" s="381" t="s">
        <v>46</v>
      </c>
      <c r="J12" s="241" t="s">
        <v>46</v>
      </c>
      <c r="K12" s="241"/>
      <c r="L12"/>
      <c r="M12" s="361" cm="1">
        <f t="array" ref="M12" xml:space="preserve"> ROW() - ROW($10:$10)</f>
        <v>2</v>
      </c>
      <c r="N12" s="361" t="str">
        <f t="shared" si="2"/>
        <v>a</v>
      </c>
      <c r="O12" s="190" t="str" cm="1">
        <f t="array" ref="O12" xml:space="preserve"> INDEX(注音編碼對照表[注音符號], MATCH(TRUE, EXACT(N12, 注音編碼對照表[台語音標]), 0))</f>
        <v>ㄚ</v>
      </c>
      <c r="P12" s="361"/>
      <c r="Q12" s="361"/>
    </row>
    <row r="13" spans="2:19" ht="44.25">
      <c r="B13" s="31">
        <f t="shared" si="1"/>
        <v>11</v>
      </c>
      <c r="C13" s="71" t="s">
        <v>165</v>
      </c>
      <c r="D13" s="32" t="s">
        <v>291</v>
      </c>
      <c r="E13" s="192" t="s">
        <v>194</v>
      </c>
      <c r="F13" s="306" t="s">
        <v>513</v>
      </c>
      <c r="G13" s="268" t="s">
        <v>194</v>
      </c>
      <c r="H13" s="378" t="s">
        <v>290</v>
      </c>
      <c r="I13" s="378" t="s">
        <v>48</v>
      </c>
      <c r="J13" s="241" t="s">
        <v>290</v>
      </c>
      <c r="K13" s="241"/>
      <c r="L13"/>
      <c r="M13" s="361" cm="1">
        <f t="array" ref="M13" xml:space="preserve"> ROW() - ROW($10:$10)</f>
        <v>3</v>
      </c>
      <c r="N13" s="361" t="str">
        <f t="shared" si="2"/>
        <v>n</v>
      </c>
      <c r="O13" s="190" t="str" cm="1">
        <f t="array" ref="O13" xml:space="preserve"> INDEX(注音編碼對照表[注音符號],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90" t="s">
        <v>34</v>
      </c>
      <c r="D14" s="292" t="s">
        <v>50</v>
      </c>
      <c r="E14" s="291" t="s">
        <v>239</v>
      </c>
      <c r="F14" s="307" t="s">
        <v>51</v>
      </c>
      <c r="G14" s="293" t="s">
        <v>239</v>
      </c>
      <c r="H14" s="382" t="s">
        <v>50</v>
      </c>
      <c r="I14" s="382" t="s">
        <v>50</v>
      </c>
      <c r="J14" s="270" t="s">
        <v>50</v>
      </c>
      <c r="K14" s="270"/>
      <c r="L14"/>
      <c r="M14" s="361" cm="1">
        <f t="array" ref="M14" xml:space="preserve"> ROW() - ROW($10:$10)</f>
        <v>4</v>
      </c>
      <c r="N14" s="361" t="str">
        <f t="shared" si="2"/>
        <v>g</v>
      </c>
      <c r="O14" s="190" t="str" cm="1">
        <f t="array" ref="O14" xml:space="preserve"> INDEX(注音編碼對照表[注音符號], MATCH(TRUE, EXACT(N14, 注音編碼對照表[台語音標]), 0))</f>
        <v>ㆣ</v>
      </c>
    </row>
    <row r="15" spans="2:19" ht="44.25">
      <c r="B15" s="25">
        <f t="shared" si="0"/>
        <v>13</v>
      </c>
      <c r="C15" s="282" t="s">
        <v>257</v>
      </c>
      <c r="D15" s="284" t="s">
        <v>89</v>
      </c>
      <c r="E15" s="283" t="s">
        <v>253</v>
      </c>
      <c r="F15" s="305" t="s">
        <v>1512</v>
      </c>
      <c r="G15" s="285" t="s">
        <v>411</v>
      </c>
      <c r="H15" s="380" t="s">
        <v>89</v>
      </c>
      <c r="I15" s="380" t="s">
        <v>89</v>
      </c>
      <c r="J15" s="266" t="s">
        <v>89</v>
      </c>
      <c r="K15" s="266"/>
      <c r="L15"/>
      <c r="M15" s="361" cm="1">
        <f t="array" ref="M15" xml:space="preserve"> ROW() - ROW($10:$10)</f>
        <v>5</v>
      </c>
      <c r="N15" s="361" t="str">
        <f t="shared" si="2"/>
        <v>1</v>
      </c>
      <c r="O15" s="190" t="str" cm="1">
        <f t="array" ref="O15" xml:space="preserve"> INDEX(注音編碼對照表[注音符號], MATCH(TRUE, EXACT(N15, 注音編碼對照表[台語音標]), 0))</f>
        <v>ˉ</v>
      </c>
    </row>
    <row r="16" spans="2:19" ht="44.25">
      <c r="B16" s="31">
        <f t="shared" si="0"/>
        <v>14</v>
      </c>
      <c r="C16" s="286" t="s">
        <v>258</v>
      </c>
      <c r="D16" s="288" t="s">
        <v>91</v>
      </c>
      <c r="E16" s="287" t="s">
        <v>210</v>
      </c>
      <c r="F16" s="306" t="s">
        <v>1513</v>
      </c>
      <c r="G16" s="289" t="s">
        <v>412</v>
      </c>
      <c r="H16" s="381" t="s">
        <v>91</v>
      </c>
      <c r="I16" s="381" t="s">
        <v>91</v>
      </c>
      <c r="J16" s="241" t="s">
        <v>91</v>
      </c>
      <c r="K16" s="241"/>
      <c r="L16"/>
      <c r="M16" s="361" cm="1">
        <f t="array" ref="M16" xml:space="preserve"> ROW() - ROW($10:$10)</f>
        <v>6</v>
      </c>
      <c r="N16" s="361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109</v>
      </c>
      <c r="E17" s="192" t="s">
        <v>254</v>
      </c>
      <c r="F17" s="306" t="s">
        <v>1514</v>
      </c>
      <c r="G17" s="268" t="s">
        <v>387</v>
      </c>
      <c r="H17" s="378" t="s">
        <v>290</v>
      </c>
      <c r="I17" s="378" t="s">
        <v>109</v>
      </c>
      <c r="J17" s="241" t="s">
        <v>1510</v>
      </c>
      <c r="K17" s="241"/>
      <c r="L17"/>
      <c r="M17" s="361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90" t="s">
        <v>26</v>
      </c>
      <c r="D18" s="292" t="s">
        <v>209</v>
      </c>
      <c r="E18" s="291" t="s">
        <v>255</v>
      </c>
      <c r="F18" s="307" t="s">
        <v>1515</v>
      </c>
      <c r="G18" s="293" t="s">
        <v>301</v>
      </c>
      <c r="H18" s="382" t="s">
        <v>209</v>
      </c>
      <c r="I18" s="382" t="s">
        <v>209</v>
      </c>
      <c r="J18" s="270" t="s">
        <v>209</v>
      </c>
      <c r="K18" s="270"/>
      <c r="L18"/>
      <c r="M18" s="361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5" t="s">
        <v>37</v>
      </c>
      <c r="F19" s="305" t="s">
        <v>514</v>
      </c>
      <c r="G19" s="267" t="s">
        <v>37</v>
      </c>
      <c r="H19" s="377" t="s">
        <v>36</v>
      </c>
      <c r="I19" s="377" t="s">
        <v>36</v>
      </c>
      <c r="J19" s="266" t="s">
        <v>36</v>
      </c>
      <c r="K19" s="266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284</v>
      </c>
      <c r="F20" s="306" t="s">
        <v>519</v>
      </c>
      <c r="G20" s="268" t="s">
        <v>279</v>
      </c>
      <c r="H20" s="378" t="s">
        <v>582</v>
      </c>
      <c r="I20" s="378" t="s">
        <v>38</v>
      </c>
      <c r="J20" s="241" t="s">
        <v>38</v>
      </c>
      <c r="K20" s="241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1572</v>
      </c>
      <c r="E21" s="192" t="s">
        <v>161</v>
      </c>
      <c r="F21" s="306" t="s">
        <v>515</v>
      </c>
      <c r="G21" s="268" t="s">
        <v>161</v>
      </c>
      <c r="H21" s="378" t="s">
        <v>583</v>
      </c>
      <c r="I21" s="378" t="s">
        <v>41</v>
      </c>
      <c r="J21" s="241" t="s">
        <v>428</v>
      </c>
      <c r="K21" s="241"/>
      <c r="L21"/>
      <c r="M21"/>
      <c r="N21"/>
    </row>
    <row r="22" spans="2:17" ht="32.25">
      <c r="B22" s="41">
        <f t="shared" si="0"/>
        <v>20</v>
      </c>
      <c r="C22" s="290" t="s">
        <v>515</v>
      </c>
      <c r="D22" s="292" t="s">
        <v>424</v>
      </c>
      <c r="E22" s="291" t="s">
        <v>242</v>
      </c>
      <c r="F22" s="307" t="s">
        <v>520</v>
      </c>
      <c r="G22" s="293" t="s">
        <v>391</v>
      </c>
      <c r="H22" s="382" t="str">
        <f xml:space="preserve"> _xlfn.UNICHAR(8304) &amp; "兀"</f>
        <v>⁰兀</v>
      </c>
      <c r="I22" s="382" t="s">
        <v>1499</v>
      </c>
      <c r="J22" s="270" t="s">
        <v>425</v>
      </c>
      <c r="K22" s="270"/>
      <c r="L22"/>
      <c r="M22"/>
      <c r="N22"/>
    </row>
    <row r="23" spans="2:17" ht="32.25">
      <c r="B23" s="55">
        <f t="shared" si="0"/>
        <v>21</v>
      </c>
      <c r="C23" s="294" t="s">
        <v>223</v>
      </c>
      <c r="D23" s="296" t="s">
        <v>52</v>
      </c>
      <c r="E23" s="295" t="s">
        <v>282</v>
      </c>
      <c r="F23" s="308" t="s">
        <v>516</v>
      </c>
      <c r="G23" s="298" t="s">
        <v>516</v>
      </c>
      <c r="H23" s="383" t="s">
        <v>52</v>
      </c>
      <c r="I23" s="383" t="s">
        <v>52</v>
      </c>
      <c r="J23" s="297" t="s">
        <v>52</v>
      </c>
      <c r="K23" s="297"/>
      <c r="L23"/>
      <c r="M23"/>
      <c r="N23"/>
    </row>
    <row r="24" spans="2:17" ht="32.25">
      <c r="B24" s="87">
        <f t="shared" si="0"/>
        <v>22</v>
      </c>
      <c r="C24" s="96" t="s">
        <v>170</v>
      </c>
      <c r="D24" s="26" t="s">
        <v>54</v>
      </c>
      <c r="E24" s="265" t="s">
        <v>207</v>
      </c>
      <c r="F24" s="309" t="s">
        <v>521</v>
      </c>
      <c r="G24" s="267" t="s">
        <v>207</v>
      </c>
      <c r="H24" s="377" t="s">
        <v>54</v>
      </c>
      <c r="I24" s="377" t="s">
        <v>54</v>
      </c>
      <c r="J24" s="266" t="s">
        <v>54</v>
      </c>
      <c r="K24" s="266"/>
      <c r="L24"/>
      <c r="M24"/>
      <c r="N24"/>
    </row>
    <row r="25" spans="2:17" ht="32.25">
      <c r="B25" s="78">
        <f t="shared" si="0"/>
        <v>23</v>
      </c>
      <c r="C25" s="299" t="s">
        <v>194</v>
      </c>
      <c r="D25" s="42" t="s">
        <v>56</v>
      </c>
      <c r="E25" s="300" t="s">
        <v>170</v>
      </c>
      <c r="F25" s="310" t="s">
        <v>522</v>
      </c>
      <c r="G25" s="271" t="s">
        <v>170</v>
      </c>
      <c r="H25" s="384" t="s">
        <v>56</v>
      </c>
      <c r="I25" s="384" t="s">
        <v>56</v>
      </c>
      <c r="J25" s="270" t="s">
        <v>56</v>
      </c>
      <c r="K25" s="270"/>
      <c r="L25"/>
      <c r="M25" s="243" t="s">
        <v>142</v>
      </c>
      <c r="N25" s="243" t="s">
        <v>336</v>
      </c>
      <c r="O25" s="243" t="s">
        <v>144</v>
      </c>
      <c r="P25" s="243" t="s">
        <v>1495</v>
      </c>
      <c r="Q25" s="243" t="s">
        <v>388</v>
      </c>
    </row>
    <row r="26" spans="2:17" ht="32.25">
      <c r="B26" s="87">
        <f t="shared" si="0"/>
        <v>24</v>
      </c>
      <c r="C26" s="96" t="s">
        <v>382</v>
      </c>
      <c r="D26" s="26" t="s">
        <v>58</v>
      </c>
      <c r="E26" s="265" t="s">
        <v>247</v>
      </c>
      <c r="F26" s="309" t="s">
        <v>525</v>
      </c>
      <c r="G26" s="267" t="s">
        <v>247</v>
      </c>
      <c r="H26" s="377" t="s">
        <v>58</v>
      </c>
      <c r="I26" s="377" t="s">
        <v>58</v>
      </c>
      <c r="J26" s="266" t="s">
        <v>58</v>
      </c>
      <c r="K26" s="266"/>
      <c r="L26"/>
      <c r="M26" s="243" t="s">
        <v>178</v>
      </c>
      <c r="N26" s="243" t="s">
        <v>368</v>
      </c>
      <c r="O26" s="243" t="s">
        <v>76</v>
      </c>
      <c r="P26" s="243" t="s">
        <v>451</v>
      </c>
      <c r="Q26" s="243" t="s">
        <v>318</v>
      </c>
    </row>
    <row r="27" spans="2:17" ht="32.25">
      <c r="B27" s="77">
        <f t="shared" si="0"/>
        <v>25</v>
      </c>
      <c r="C27" s="71" t="s">
        <v>207</v>
      </c>
      <c r="D27" s="32" t="s">
        <v>67</v>
      </c>
      <c r="E27" s="192" t="s">
        <v>201</v>
      </c>
      <c r="F27" s="311" t="s">
        <v>523</v>
      </c>
      <c r="G27" s="268" t="s">
        <v>244</v>
      </c>
      <c r="H27" s="378" t="s">
        <v>584</v>
      </c>
      <c r="I27" s="378" t="s">
        <v>67</v>
      </c>
      <c r="J27" s="241" t="s">
        <v>314</v>
      </c>
      <c r="K27" s="241"/>
      <c r="L27"/>
      <c r="M27" s="243" t="s">
        <v>172</v>
      </c>
      <c r="N27" s="243" t="s">
        <v>358</v>
      </c>
      <c r="O27" s="243" t="s">
        <v>74</v>
      </c>
      <c r="P27" s="243" t="s">
        <v>74</v>
      </c>
      <c r="Q27" s="243" t="s">
        <v>320</v>
      </c>
    </row>
    <row r="28" spans="2:17" ht="32.25">
      <c r="B28" s="77">
        <f t="shared" si="0"/>
        <v>26</v>
      </c>
      <c r="C28" s="71" t="s">
        <v>37</v>
      </c>
      <c r="D28" s="32" t="s">
        <v>308</v>
      </c>
      <c r="E28" s="192" t="s">
        <v>65</v>
      </c>
      <c r="F28" s="311" t="s">
        <v>524</v>
      </c>
      <c r="G28" s="268" t="s">
        <v>65</v>
      </c>
      <c r="H28" s="378" t="s">
        <v>585</v>
      </c>
      <c r="I28" s="378" t="s">
        <v>308</v>
      </c>
      <c r="J28" s="241" t="s">
        <v>585</v>
      </c>
      <c r="K28" s="241"/>
      <c r="L28"/>
      <c r="M28" s="243" t="s">
        <v>385</v>
      </c>
      <c r="N28" s="243" t="s">
        <v>143</v>
      </c>
      <c r="O28" s="243" t="s">
        <v>384</v>
      </c>
      <c r="P28" s="243" t="s">
        <v>384</v>
      </c>
      <c r="Q28" s="243" t="s">
        <v>396</v>
      </c>
    </row>
    <row r="29" spans="2:17" ht="32.25">
      <c r="B29" s="78">
        <f t="shared" si="0"/>
        <v>27</v>
      </c>
      <c r="C29" s="301" t="s">
        <v>182</v>
      </c>
      <c r="D29" s="303" t="s">
        <v>61</v>
      </c>
      <c r="E29" s="302" t="s">
        <v>234</v>
      </c>
      <c r="F29" s="315" t="s">
        <v>539</v>
      </c>
      <c r="G29" s="304" t="s">
        <v>234</v>
      </c>
      <c r="H29" s="385" t="s">
        <v>310</v>
      </c>
      <c r="I29" s="385" t="s">
        <v>61</v>
      </c>
      <c r="J29" s="270" t="s">
        <v>414</v>
      </c>
      <c r="K29" s="270"/>
      <c r="L29"/>
      <c r="M29" s="243"/>
      <c r="N29" s="243"/>
      <c r="O29" s="243"/>
      <c r="P29" s="243"/>
      <c r="Q29" s="243"/>
    </row>
    <row r="30" spans="2:17" ht="32.25">
      <c r="B30" s="94">
        <f t="shared" si="0"/>
        <v>28</v>
      </c>
      <c r="C30" s="71" t="s">
        <v>197</v>
      </c>
      <c r="D30" s="32" t="s">
        <v>111</v>
      </c>
      <c r="E30" s="192" t="s">
        <v>205</v>
      </c>
      <c r="F30" s="311" t="s">
        <v>537</v>
      </c>
      <c r="G30" s="219" t="s">
        <v>329</v>
      </c>
      <c r="H30" s="378" t="str">
        <f xml:space="preserve"> _xlfn.UNICHAR(8304) &amp; "ㄧ"</f>
        <v>⁰ㄧ</v>
      </c>
      <c r="I30" s="378" t="s">
        <v>111</v>
      </c>
      <c r="J30" s="241" t="s">
        <v>430</v>
      </c>
      <c r="K30" s="241"/>
      <c r="L30"/>
      <c r="M30" s="243">
        <v>2070</v>
      </c>
      <c r="N30" s="243">
        <v>8304</v>
      </c>
      <c r="O30" s="243"/>
      <c r="P30" s="243"/>
      <c r="Q30" s="243"/>
    </row>
    <row r="31" spans="2:17" ht="32.25">
      <c r="B31" s="94">
        <f t="shared" si="0"/>
        <v>29</v>
      </c>
      <c r="C31" s="71" t="s">
        <v>192</v>
      </c>
      <c r="D31" s="32" t="s">
        <v>113</v>
      </c>
      <c r="E31" s="192" t="s">
        <v>197</v>
      </c>
      <c r="F31" s="311" t="s">
        <v>536</v>
      </c>
      <c r="G31" s="219" t="s">
        <v>331</v>
      </c>
      <c r="H31" s="378" t="s">
        <v>587</v>
      </c>
      <c r="I31" s="378" t="s">
        <v>113</v>
      </c>
      <c r="J31" s="241" t="s">
        <v>417</v>
      </c>
      <c r="K31" s="241"/>
      <c r="L31"/>
      <c r="M31" s="243" t="str">
        <f xml:space="preserve"> _xlfn.UNICHAR(8304)</f>
        <v>⁰</v>
      </c>
      <c r="N31" s="243" t="str">
        <f t="shared" ref="N31:N36" si="3" xml:space="preserve"> M31 &amp; RIGHT(H31)</f>
        <v>⁰ㄨ</v>
      </c>
      <c r="O31" s="243"/>
      <c r="P31" s="243"/>
      <c r="Q31" s="243"/>
    </row>
    <row r="32" spans="2:17" ht="32.25">
      <c r="B32" s="94">
        <f t="shared" si="0"/>
        <v>30</v>
      </c>
      <c r="C32" s="71" t="s">
        <v>208</v>
      </c>
      <c r="D32" s="32" t="s">
        <v>115</v>
      </c>
      <c r="E32" s="192" t="s">
        <v>390</v>
      </c>
      <c r="F32" s="311" t="s">
        <v>540</v>
      </c>
      <c r="G32" s="219" t="s">
        <v>206</v>
      </c>
      <c r="H32" s="378" t="s">
        <v>588</v>
      </c>
      <c r="I32" s="378" t="s">
        <v>115</v>
      </c>
      <c r="J32" s="241" t="s">
        <v>418</v>
      </c>
      <c r="K32" s="241"/>
      <c r="L32"/>
      <c r="M32" s="243" t="str">
        <f t="shared" ref="M32:M37" si="4" xml:space="preserve"> _xlfn.UNICHAR(8304)</f>
        <v>⁰</v>
      </c>
      <c r="N32" s="243" t="str">
        <f t="shared" si="3"/>
        <v>⁰ㄚ</v>
      </c>
      <c r="O32" s="243"/>
      <c r="P32" s="243"/>
      <c r="Q32" s="243"/>
    </row>
    <row r="33" spans="2:19" ht="32.25">
      <c r="B33" s="94">
        <f t="shared" si="0"/>
        <v>31</v>
      </c>
      <c r="C33" s="71" t="s">
        <v>205</v>
      </c>
      <c r="D33" s="32" t="s">
        <v>121</v>
      </c>
      <c r="E33" s="192" t="s">
        <v>357</v>
      </c>
      <c r="F33" s="311" t="s">
        <v>541</v>
      </c>
      <c r="G33" s="219" t="s">
        <v>204</v>
      </c>
      <c r="H33" s="378" t="s">
        <v>603</v>
      </c>
      <c r="I33" s="378" t="s">
        <v>121</v>
      </c>
      <c r="J33" s="241" t="s">
        <v>419</v>
      </c>
      <c r="K33" s="241"/>
      <c r="L33"/>
      <c r="M33" s="243" t="str">
        <f t="shared" si="4"/>
        <v>⁰</v>
      </c>
      <c r="N33" s="243" t="str">
        <f t="shared" si="3"/>
        <v>⁰ㄛ</v>
      </c>
      <c r="O33" s="243"/>
      <c r="P33" s="243"/>
      <c r="Q33" s="243"/>
    </row>
    <row r="34" spans="2:19" ht="32.25">
      <c r="B34" s="94">
        <f t="shared" si="0"/>
        <v>32</v>
      </c>
      <c r="C34" s="71" t="s">
        <v>181</v>
      </c>
      <c r="D34" s="32" t="s">
        <v>119</v>
      </c>
      <c r="E34" s="192" t="s">
        <v>231</v>
      </c>
      <c r="F34" s="311" t="s">
        <v>538</v>
      </c>
      <c r="G34" s="219" t="s">
        <v>203</v>
      </c>
      <c r="H34" s="378" t="s">
        <v>1497</v>
      </c>
      <c r="I34" s="378" t="s">
        <v>119</v>
      </c>
      <c r="J34" s="241" t="s">
        <v>420</v>
      </c>
      <c r="K34" s="241"/>
      <c r="L34"/>
      <c r="M34" s="243" t="str">
        <f t="shared" si="4"/>
        <v>⁰</v>
      </c>
      <c r="N34" s="243" t="str">
        <f t="shared" si="3"/>
        <v>⁰ㄝ</v>
      </c>
      <c r="O34" s="243"/>
      <c r="P34" s="243"/>
      <c r="Q34" s="243"/>
    </row>
    <row r="35" spans="2:19" ht="32.25">
      <c r="B35" s="94">
        <f t="shared" si="0"/>
        <v>33</v>
      </c>
      <c r="C35" s="71" t="s">
        <v>188</v>
      </c>
      <c r="D35" s="32" t="s">
        <v>117</v>
      </c>
      <c r="E35" s="192" t="s">
        <v>294</v>
      </c>
      <c r="F35" s="311" t="s">
        <v>565</v>
      </c>
      <c r="G35" s="219" t="s">
        <v>202</v>
      </c>
      <c r="H35" s="378" t="s">
        <v>589</v>
      </c>
      <c r="I35" s="378" t="s">
        <v>117</v>
      </c>
      <c r="J35" s="241" t="s">
        <v>421</v>
      </c>
      <c r="K35" s="241"/>
      <c r="L35"/>
      <c r="M35" s="243" t="str">
        <f t="shared" si="4"/>
        <v>⁰</v>
      </c>
      <c r="N35" s="243" t="str">
        <f t="shared" si="3"/>
        <v>⁰ㄞ</v>
      </c>
      <c r="O35" s="243"/>
      <c r="P35" s="243"/>
      <c r="Q35" s="243"/>
    </row>
    <row r="36" spans="2:19" ht="32.25">
      <c r="B36" s="94">
        <f t="shared" si="0"/>
        <v>34</v>
      </c>
      <c r="C36" s="71" t="s">
        <v>322</v>
      </c>
      <c r="D36" s="32" t="s">
        <v>123</v>
      </c>
      <c r="E36" s="192" t="s">
        <v>366</v>
      </c>
      <c r="F36" s="311" t="s">
        <v>566</v>
      </c>
      <c r="G36" s="219" t="s">
        <v>200</v>
      </c>
      <c r="H36" s="378" t="s">
        <v>590</v>
      </c>
      <c r="I36" s="378" t="s">
        <v>123</v>
      </c>
      <c r="J36" s="241" t="s">
        <v>422</v>
      </c>
      <c r="K36" s="241"/>
      <c r="L36"/>
      <c r="M36" s="243" t="str">
        <f t="shared" si="4"/>
        <v>⁰</v>
      </c>
      <c r="N36" s="243" t="str">
        <f t="shared" si="3"/>
        <v>⁰ㄠ</v>
      </c>
      <c r="O36" s="243"/>
      <c r="P36" s="243"/>
      <c r="Q36" s="243"/>
    </row>
    <row r="37" spans="2:19" ht="32.25">
      <c r="B37" s="94">
        <f t="shared" si="0"/>
        <v>35</v>
      </c>
      <c r="C37" s="71" t="s">
        <v>171</v>
      </c>
      <c r="D37" s="32" t="s">
        <v>383</v>
      </c>
      <c r="E37" s="192" t="s">
        <v>359</v>
      </c>
      <c r="F37" s="311" t="s">
        <v>574</v>
      </c>
      <c r="G37" s="219" t="s">
        <v>334</v>
      </c>
      <c r="H37" s="378" t="s">
        <v>586</v>
      </c>
      <c r="I37" s="378" t="s">
        <v>1500</v>
      </c>
      <c r="J37" s="241" t="s">
        <v>333</v>
      </c>
      <c r="K37" s="241"/>
      <c r="L37"/>
      <c r="M37" s="243" t="str">
        <f t="shared" si="4"/>
        <v>⁰</v>
      </c>
      <c r="N37" s="243" t="str">
        <f xml:space="preserve"> M37 &amp; RIGHT(H41)</f>
        <v>⁰ㄇ</v>
      </c>
      <c r="O37" s="243"/>
      <c r="P37" s="243"/>
      <c r="Q37" s="243"/>
    </row>
    <row r="38" spans="2:19" ht="32.25">
      <c r="B38" s="94">
        <f t="shared" si="0"/>
        <v>36</v>
      </c>
      <c r="C38" s="220" t="s">
        <v>199</v>
      </c>
      <c r="D38" s="221" t="s">
        <v>189</v>
      </c>
      <c r="E38" s="222" t="s">
        <v>381</v>
      </c>
      <c r="F38" s="311" t="s">
        <v>71</v>
      </c>
      <c r="G38" s="223" t="s">
        <v>235</v>
      </c>
      <c r="H38" s="386" t="s">
        <v>189</v>
      </c>
      <c r="I38" s="386" t="s">
        <v>189</v>
      </c>
      <c r="J38" s="241" t="s">
        <v>189</v>
      </c>
      <c r="K38" s="241"/>
      <c r="L38"/>
      <c r="M38" s="243"/>
      <c r="N38" s="243"/>
      <c r="O38" s="243"/>
      <c r="P38" s="243"/>
      <c r="Q38" s="243"/>
    </row>
    <row r="39" spans="2:19" ht="32.25">
      <c r="B39" s="94">
        <f t="shared" si="0"/>
        <v>37</v>
      </c>
      <c r="C39" s="71" t="s">
        <v>180</v>
      </c>
      <c r="D39" s="32" t="s">
        <v>97</v>
      </c>
      <c r="E39" s="192" t="s">
        <v>392</v>
      </c>
      <c r="F39" s="311" t="s">
        <v>527</v>
      </c>
      <c r="G39" s="219" t="s">
        <v>157</v>
      </c>
      <c r="H39" s="378" t="s">
        <v>97</v>
      </c>
      <c r="I39" s="378" t="s">
        <v>97</v>
      </c>
      <c r="J39" s="241" t="s">
        <v>97</v>
      </c>
      <c r="K39" s="241"/>
      <c r="L39"/>
      <c r="M39" s="243"/>
      <c r="N39" s="243"/>
      <c r="O39" s="243"/>
      <c r="P39" s="243"/>
      <c r="Q39" s="243"/>
    </row>
    <row r="40" spans="2:19" ht="32.25">
      <c r="B40" s="94">
        <f t="shared" si="0"/>
        <v>38</v>
      </c>
      <c r="C40" s="71" t="s">
        <v>176</v>
      </c>
      <c r="D40" s="32" t="s">
        <v>95</v>
      </c>
      <c r="E40" s="192" t="s">
        <v>169</v>
      </c>
      <c r="F40" s="311" t="s">
        <v>529</v>
      </c>
      <c r="G40" s="219" t="s">
        <v>150</v>
      </c>
      <c r="H40" s="378" t="s">
        <v>95</v>
      </c>
      <c r="I40" s="378" t="s">
        <v>95</v>
      </c>
      <c r="J40" s="241" t="s">
        <v>95</v>
      </c>
      <c r="K40" s="241" t="s">
        <v>531</v>
      </c>
      <c r="L40"/>
      <c r="M40" s="243"/>
      <c r="N40" s="243"/>
      <c r="O40" s="243"/>
      <c r="P40" s="243"/>
      <c r="Q40" s="243"/>
    </row>
    <row r="41" spans="2:19" ht="32.25">
      <c r="B41" s="94">
        <f t="shared" si="0"/>
        <v>39</v>
      </c>
      <c r="C41" s="71" t="s">
        <v>312</v>
      </c>
      <c r="D41" s="32" t="s">
        <v>99</v>
      </c>
      <c r="E41" s="192" t="s">
        <v>292</v>
      </c>
      <c r="F41" s="311" t="s">
        <v>100</v>
      </c>
      <c r="G41" s="219" t="s">
        <v>175</v>
      </c>
      <c r="H41" s="378" t="s">
        <v>326</v>
      </c>
      <c r="I41" s="378" t="s">
        <v>1501</v>
      </c>
      <c r="J41" s="241" t="s">
        <v>423</v>
      </c>
      <c r="K41" s="241"/>
      <c r="L41"/>
      <c r="M41" s="243"/>
      <c r="N41" s="243"/>
      <c r="O41" s="243"/>
      <c r="P41" s="243"/>
      <c r="Q41" s="243"/>
    </row>
    <row r="42" spans="2:19" ht="32.25">
      <c r="B42" s="94">
        <f t="shared" si="0"/>
        <v>40</v>
      </c>
      <c r="C42" s="71" t="s">
        <v>86</v>
      </c>
      <c r="D42" s="32" t="s">
        <v>72</v>
      </c>
      <c r="E42" s="192" t="s">
        <v>237</v>
      </c>
      <c r="F42" s="311" t="s">
        <v>1516</v>
      </c>
      <c r="G42" s="219" t="s">
        <v>232</v>
      </c>
      <c r="H42" s="378" t="s">
        <v>72</v>
      </c>
      <c r="I42" s="378" t="s">
        <v>72</v>
      </c>
      <c r="J42" s="241" t="s">
        <v>72</v>
      </c>
      <c r="K42" s="241"/>
      <c r="L42"/>
      <c r="M42" s="243"/>
      <c r="N42" s="243"/>
      <c r="O42" s="243"/>
      <c r="P42" s="243"/>
      <c r="Q42" s="243"/>
    </row>
    <row r="43" spans="2:19" ht="32.25">
      <c r="B43" s="320">
        <f t="shared" si="0"/>
        <v>41</v>
      </c>
      <c r="C43" s="321" t="s">
        <v>69</v>
      </c>
      <c r="D43" s="323" t="s">
        <v>125</v>
      </c>
      <c r="E43" s="322" t="s">
        <v>285</v>
      </c>
      <c r="F43" s="325" t="s">
        <v>1487</v>
      </c>
      <c r="G43" s="326" t="s">
        <v>173</v>
      </c>
      <c r="H43" s="378" t="s">
        <v>416</v>
      </c>
      <c r="I43" s="378" t="s">
        <v>416</v>
      </c>
      <c r="J43" s="324" t="s">
        <v>416</v>
      </c>
      <c r="K43" s="241"/>
      <c r="L43"/>
      <c r="M43" s="243">
        <f xml:space="preserve"> _xlfn.UNICODE(注音編碼對照表[[#This Row],[我的注音符號]])</f>
        <v>12571</v>
      </c>
      <c r="N43" s="243" t="str">
        <f xml:space="preserve"> DEC2HEX(M43)</f>
        <v>311B</v>
      </c>
      <c r="O43" s="243"/>
      <c r="P43" s="243"/>
      <c r="Q43" s="243"/>
    </row>
    <row r="44" spans="2:19" ht="32.25">
      <c r="B44" s="94">
        <f t="shared" si="0"/>
        <v>42</v>
      </c>
      <c r="C44" s="107" t="s">
        <v>66</v>
      </c>
      <c r="D44" s="32" t="s">
        <v>101</v>
      </c>
      <c r="E44" s="192" t="s">
        <v>258</v>
      </c>
      <c r="F44" s="311" t="s">
        <v>563</v>
      </c>
      <c r="G44" s="219" t="s">
        <v>149</v>
      </c>
      <c r="H44" s="378" t="s">
        <v>604</v>
      </c>
      <c r="I44" s="378" t="s">
        <v>1502</v>
      </c>
      <c r="J44" s="241" t="s">
        <v>564</v>
      </c>
      <c r="K44" s="241"/>
      <c r="L44"/>
      <c r="M44" s="243"/>
      <c r="N44" s="243"/>
      <c r="O44" s="243"/>
      <c r="P44" s="243"/>
      <c r="Q44" s="243"/>
    </row>
    <row r="45" spans="2:19" ht="32.25">
      <c r="B45" s="94">
        <f t="shared" si="0"/>
        <v>43</v>
      </c>
      <c r="C45" s="71" t="s">
        <v>142</v>
      </c>
      <c r="D45" s="32" t="s">
        <v>144</v>
      </c>
      <c r="E45" s="192" t="s">
        <v>336</v>
      </c>
      <c r="F45" s="311" t="s">
        <v>568</v>
      </c>
      <c r="G45" s="219" t="s">
        <v>388</v>
      </c>
      <c r="H45" s="378" t="s">
        <v>415</v>
      </c>
      <c r="I45" s="378" t="s">
        <v>1503</v>
      </c>
      <c r="J45" s="241" t="s">
        <v>415</v>
      </c>
      <c r="K45" s="241"/>
      <c r="L45"/>
      <c r="M45" s="243" t="s">
        <v>1496</v>
      </c>
      <c r="N45" s="243"/>
      <c r="O45" s="243"/>
      <c r="P45" s="243"/>
      <c r="Q45" s="243"/>
    </row>
    <row r="46" spans="2:19" ht="32.25">
      <c r="B46" s="94">
        <f t="shared" si="0"/>
        <v>44</v>
      </c>
      <c r="C46" s="71" t="s">
        <v>178</v>
      </c>
      <c r="D46" s="32" t="s">
        <v>76</v>
      </c>
      <c r="E46" s="192" t="s">
        <v>368</v>
      </c>
      <c r="F46" s="331" t="s">
        <v>509</v>
      </c>
      <c r="G46" s="219" t="s">
        <v>318</v>
      </c>
      <c r="H46" s="378" t="s">
        <v>76</v>
      </c>
      <c r="I46" s="378" t="s">
        <v>76</v>
      </c>
      <c r="J46" s="241" t="s">
        <v>452</v>
      </c>
      <c r="K46" s="241"/>
      <c r="L46"/>
      <c r="M46" s="243"/>
      <c r="N46" s="243"/>
      <c r="O46" s="243"/>
      <c r="P46" s="243"/>
      <c r="Q46" s="243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358</v>
      </c>
      <c r="F47" s="311" t="s">
        <v>569</v>
      </c>
      <c r="G47" s="219" t="s">
        <v>320</v>
      </c>
      <c r="H47" s="378" t="s">
        <v>425</v>
      </c>
      <c r="I47" s="378" t="s">
        <v>1499</v>
      </c>
      <c r="J47" s="241" t="s">
        <v>141</v>
      </c>
      <c r="K47" s="241"/>
      <c r="L47"/>
      <c r="M47" s="437" t="s">
        <v>1568</v>
      </c>
      <c r="N47" s="438"/>
      <c r="O47" s="437"/>
      <c r="P47" s="437"/>
      <c r="Q47" s="437" t="s">
        <v>1534</v>
      </c>
      <c r="R47" s="437"/>
    </row>
    <row r="48" spans="2:19" ht="32.25">
      <c r="B48" s="94">
        <f t="shared" si="0"/>
        <v>46</v>
      </c>
      <c r="C48" s="71" t="s">
        <v>560</v>
      </c>
      <c r="D48" s="108" t="s">
        <v>558</v>
      </c>
      <c r="E48" s="329" t="s">
        <v>559</v>
      </c>
      <c r="F48" s="311" t="s">
        <v>575</v>
      </c>
      <c r="G48" s="219" t="s">
        <v>396</v>
      </c>
      <c r="H48" s="378" t="s">
        <v>1573</v>
      </c>
      <c r="I48" s="378" t="s">
        <v>1525</v>
      </c>
      <c r="J48" s="241" t="s">
        <v>558</v>
      </c>
      <c r="K48" s="241"/>
      <c r="L48"/>
      <c r="M48" s="435" t="s">
        <v>1562</v>
      </c>
      <c r="N48"/>
      <c r="Q48" s="435" t="s">
        <v>1556</v>
      </c>
      <c r="R48" s="433"/>
      <c r="S48" s="433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338</v>
      </c>
      <c r="E49" s="192" t="s">
        <v>249</v>
      </c>
      <c r="F49" s="311"/>
      <c r="G49" s="219">
        <v>1</v>
      </c>
      <c r="H49" s="378">
        <v>1</v>
      </c>
      <c r="I49" s="378" t="s">
        <v>338</v>
      </c>
      <c r="J49" s="241" t="s">
        <v>338</v>
      </c>
      <c r="K49" s="241"/>
      <c r="L49"/>
      <c r="M49" s="435" t="s">
        <v>1563</v>
      </c>
      <c r="N49"/>
      <c r="Q49" s="435" t="s">
        <v>1557</v>
      </c>
      <c r="R49" s="433"/>
      <c r="S49" s="433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154</v>
      </c>
      <c r="F50" s="311"/>
      <c r="G50" s="219">
        <v>5</v>
      </c>
      <c r="H50" s="378">
        <v>5</v>
      </c>
      <c r="I50" s="378" t="s">
        <v>106</v>
      </c>
      <c r="J50" s="241" t="s">
        <v>106</v>
      </c>
      <c r="K50" s="241"/>
      <c r="L50"/>
      <c r="M50" s="435" t="s">
        <v>1558</v>
      </c>
      <c r="N50"/>
      <c r="Q50" s="435" t="s">
        <v>1558</v>
      </c>
      <c r="R50" s="434"/>
      <c r="S50" s="434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245</v>
      </c>
      <c r="F51" s="311"/>
      <c r="G51" s="219">
        <v>2</v>
      </c>
      <c r="H51" s="378">
        <v>2</v>
      </c>
      <c r="I51" s="378" t="s">
        <v>104</v>
      </c>
      <c r="J51" s="241" t="s">
        <v>104</v>
      </c>
      <c r="K51" s="241"/>
      <c r="L51"/>
      <c r="M51" s="435" t="s">
        <v>1564</v>
      </c>
      <c r="N51"/>
      <c r="Q51" s="435" t="s">
        <v>1559</v>
      </c>
      <c r="R51" s="433"/>
      <c r="S51" s="433"/>
    </row>
    <row r="52" spans="2:19" ht="32.25">
      <c r="B52" s="94">
        <f t="shared" si="0"/>
        <v>50</v>
      </c>
      <c r="C52" s="71" t="s">
        <v>166</v>
      </c>
      <c r="D52" s="32" t="s">
        <v>1574</v>
      </c>
      <c r="E52" s="192" t="s">
        <v>166</v>
      </c>
      <c r="F52" s="311"/>
      <c r="G52" s="219">
        <v>3</v>
      </c>
      <c r="H52" s="378">
        <v>3</v>
      </c>
      <c r="I52" s="378" t="s">
        <v>1504</v>
      </c>
      <c r="J52" s="241" t="s">
        <v>105</v>
      </c>
      <c r="K52" s="241"/>
      <c r="L52"/>
      <c r="M52" s="435" t="s">
        <v>1565</v>
      </c>
      <c r="N52"/>
      <c r="Q52" s="435" t="s">
        <v>1560</v>
      </c>
      <c r="R52" s="434"/>
      <c r="S52" s="434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151</v>
      </c>
      <c r="F53" s="311"/>
      <c r="G53" s="219">
        <v>7</v>
      </c>
      <c r="H53" s="378">
        <v>7</v>
      </c>
      <c r="I53" s="390" t="s">
        <v>1505</v>
      </c>
      <c r="J53" s="241" t="s">
        <v>107</v>
      </c>
      <c r="K53" s="241"/>
      <c r="L53"/>
      <c r="M53" s="435" t="s">
        <v>1566</v>
      </c>
      <c r="N53"/>
      <c r="Q53" s="435" t="s">
        <v>1561</v>
      </c>
      <c r="R53" s="433"/>
      <c r="S53" s="433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180</v>
      </c>
      <c r="F54" s="311"/>
      <c r="G54" s="219" t="s">
        <v>389</v>
      </c>
      <c r="H54" s="378">
        <v>0</v>
      </c>
      <c r="I54" s="378" t="s">
        <v>108</v>
      </c>
      <c r="J54" s="241" t="s">
        <v>108</v>
      </c>
      <c r="K54" s="241"/>
      <c r="L54"/>
      <c r="M54" s="435" t="s">
        <v>1567</v>
      </c>
      <c r="N54"/>
    </row>
    <row r="55" spans="2:19">
      <c r="L55"/>
      <c r="M55"/>
      <c r="N55"/>
      <c r="P55" s="436"/>
    </row>
    <row r="57" spans="2:19" ht="32.25">
      <c r="B57" s="320">
        <f t="shared" si="0"/>
        <v>55</v>
      </c>
      <c r="C57" s="321" t="s">
        <v>1549</v>
      </c>
      <c r="D57" s="429" t="s">
        <v>128</v>
      </c>
      <c r="E57" s="322" t="str">
        <f xml:space="preserve"> IFERROR( INDEX(#REF!, MATCH($AJ56,#REF!, 0)), "")</f>
        <v/>
      </c>
      <c r="F57" s="325" t="s">
        <v>570</v>
      </c>
      <c r="G57" s="326" t="s">
        <v>406</v>
      </c>
      <c r="H57" s="322"/>
      <c r="I57" s="323" t="s">
        <v>128</v>
      </c>
      <c r="J57" s="324" t="s">
        <v>128</v>
      </c>
      <c r="K57" s="324"/>
      <c r="M57" s="432" t="s">
        <v>1552</v>
      </c>
    </row>
    <row r="58" spans="2:19" ht="32.25">
      <c r="B58" s="320">
        <f t="shared" si="0"/>
        <v>56</v>
      </c>
      <c r="C58" s="321" t="s">
        <v>1550</v>
      </c>
      <c r="D58" s="430" t="s">
        <v>130</v>
      </c>
      <c r="E58" s="322" t="str">
        <f xml:space="preserve"> IFERROR( INDEX(#REF!, MATCH($AJ57,#REF!, 0)), "")</f>
        <v/>
      </c>
      <c r="F58" s="325" t="s">
        <v>571</v>
      </c>
      <c r="G58" s="326" t="s">
        <v>407</v>
      </c>
      <c r="H58" s="322"/>
      <c r="I58" s="323" t="s">
        <v>130</v>
      </c>
      <c r="J58" s="324" t="s">
        <v>130</v>
      </c>
      <c r="K58" s="324"/>
      <c r="M58" s="432" t="s">
        <v>1553</v>
      </c>
    </row>
    <row r="59" spans="2:19" ht="32.25">
      <c r="B59" s="320">
        <f t="shared" si="0"/>
        <v>57</v>
      </c>
      <c r="C59" s="321" t="s">
        <v>1551</v>
      </c>
      <c r="D59" s="430" t="s">
        <v>132</v>
      </c>
      <c r="E59" s="322" t="str">
        <f xml:space="preserve"> IFERROR( INDEX(#REF!, MATCH($AJ58,#REF!, 0)), "")</f>
        <v/>
      </c>
      <c r="F59" s="325" t="s">
        <v>572</v>
      </c>
      <c r="G59" s="326" t="s">
        <v>408</v>
      </c>
      <c r="H59" s="322"/>
      <c r="I59" s="323" t="s">
        <v>132</v>
      </c>
      <c r="J59" s="324" t="s">
        <v>132</v>
      </c>
      <c r="K59" s="324"/>
      <c r="M59" s="432" t="s">
        <v>1554</v>
      </c>
    </row>
    <row r="60" spans="2:19" ht="32.25">
      <c r="B60" s="320">
        <f t="shared" si="0"/>
        <v>58</v>
      </c>
      <c r="C60" s="321" t="s">
        <v>1548</v>
      </c>
      <c r="D60" s="430" t="s">
        <v>134</v>
      </c>
      <c r="E60" s="322" t="str">
        <f xml:space="preserve"> IFERROR( INDEX(#REF!, MATCH($AJ59,#REF!, 0)), "")</f>
        <v/>
      </c>
      <c r="F60" s="325" t="s">
        <v>573</v>
      </c>
      <c r="G60" s="326" t="s">
        <v>409</v>
      </c>
      <c r="H60" s="322"/>
      <c r="I60" s="323" t="s">
        <v>426</v>
      </c>
      <c r="J60" s="324" t="s">
        <v>134</v>
      </c>
      <c r="K60" s="324"/>
      <c r="M60" s="432" t="s">
        <v>1555</v>
      </c>
    </row>
    <row r="61" spans="2:19" ht="21">
      <c r="B61"/>
      <c r="C61"/>
      <c r="D61"/>
      <c r="E61"/>
      <c r="F61"/>
      <c r="G61"/>
      <c r="K61"/>
      <c r="L61"/>
      <c r="M61" s="431"/>
      <c r="N61"/>
    </row>
    <row r="62" spans="2:19" ht="32.25">
      <c r="B62" s="320">
        <f t="shared" ref="B62:B67" si="5">ROW() - 2</f>
        <v>60</v>
      </c>
      <c r="C62" s="321" t="str">
        <f xml:space="preserve"> IFERROR( INDEX(#REF!, MATCH($AE30,#REF!, 0)), "")</f>
        <v/>
      </c>
      <c r="D62" s="322"/>
      <c r="E62" s="322" t="str">
        <f xml:space="preserve"> IFERROR( INDEX(#REF!, MATCH($AE30,#REF!, 0)), "")</f>
        <v/>
      </c>
      <c r="F62" s="325" t="s">
        <v>528</v>
      </c>
      <c r="G62" s="330" t="s">
        <v>561</v>
      </c>
      <c r="H62" s="322"/>
      <c r="I62" s="323"/>
      <c r="J62" s="324" t="s">
        <v>562</v>
      </c>
      <c r="K62" s="328" t="s">
        <v>530</v>
      </c>
    </row>
    <row r="63" spans="2:19" ht="32.25">
      <c r="B63" s="320">
        <f t="shared" si="5"/>
        <v>61</v>
      </c>
      <c r="C63" s="321" t="str">
        <f xml:space="preserve"> IFERROR( INDEX(#REF!, MATCH($AE31,#REF!, 0)), "")</f>
        <v/>
      </c>
      <c r="D63" s="322"/>
      <c r="E63" s="322" t="str">
        <f xml:space="preserve"> IFERROR( INDEX(#REF!, MATCH($AE31,#REF!, 0)), "")</f>
        <v/>
      </c>
      <c r="F63" s="325" t="s">
        <v>550</v>
      </c>
      <c r="G63" s="326" t="s">
        <v>551</v>
      </c>
      <c r="H63" s="322"/>
      <c r="I63" s="323"/>
      <c r="J63" s="324" t="s">
        <v>549</v>
      </c>
      <c r="K63" s="328"/>
    </row>
    <row r="64" spans="2:19" ht="32.25">
      <c r="B64" s="320">
        <f t="shared" si="5"/>
        <v>62</v>
      </c>
      <c r="C64" s="321" t="str">
        <f xml:space="preserve"> IFERROR( INDEX(#REF!, MATCH($AE32,#REF!, 0)), "")</f>
        <v/>
      </c>
      <c r="D64" s="322"/>
      <c r="E64" s="322" t="str">
        <f xml:space="preserve"> IFERROR( INDEX(#REF!, MATCH($AE32,#REF!, 0)), "")</f>
        <v/>
      </c>
      <c r="F64" s="325" t="s">
        <v>547</v>
      </c>
      <c r="G64" s="326" t="s">
        <v>548</v>
      </c>
      <c r="H64" s="322"/>
      <c r="I64" s="323"/>
      <c r="J64" s="324" t="s">
        <v>546</v>
      </c>
      <c r="K64" s="327"/>
    </row>
    <row r="65" spans="2:15" ht="32.25">
      <c r="B65" s="320">
        <f t="shared" si="5"/>
        <v>63</v>
      </c>
      <c r="C65" s="321" t="str">
        <f xml:space="preserve"> IFERROR( INDEX(#REF!, MATCH($AE34,#REF!, 0)), "")</f>
        <v/>
      </c>
      <c r="D65" s="322"/>
      <c r="E65" s="322" t="str">
        <f xml:space="preserve"> IFERROR( INDEX(#REF!, MATCH($AE34,#REF!, 0)), "")</f>
        <v/>
      </c>
      <c r="F65" s="325" t="s">
        <v>533</v>
      </c>
      <c r="G65" s="326" t="s">
        <v>534</v>
      </c>
      <c r="H65" s="322"/>
      <c r="I65" s="323"/>
      <c r="J65" s="324" t="s">
        <v>535</v>
      </c>
      <c r="K65" s="327" t="s">
        <v>532</v>
      </c>
    </row>
    <row r="66" spans="2:15" ht="32.25">
      <c r="B66" s="320">
        <f t="shared" si="5"/>
        <v>64</v>
      </c>
      <c r="C66" s="321" t="str">
        <f xml:space="preserve"> IFERROR( INDEX(#REF!, MATCH($AE36,#REF!, 0)), "")</f>
        <v/>
      </c>
      <c r="D66" s="322"/>
      <c r="E66" s="322" t="str">
        <f xml:space="preserve"> IFERROR( INDEX(#REF!, MATCH($AE36,#REF!, 0)), "")</f>
        <v/>
      </c>
      <c r="F66" s="325" t="s">
        <v>524</v>
      </c>
      <c r="G66" s="326" t="s">
        <v>545</v>
      </c>
      <c r="H66" s="322"/>
      <c r="I66" s="323"/>
      <c r="J66" s="324" t="s">
        <v>542</v>
      </c>
      <c r="K66" s="327"/>
    </row>
    <row r="67" spans="2:15" ht="32.25">
      <c r="B67" s="320">
        <f t="shared" si="5"/>
        <v>65</v>
      </c>
      <c r="C67" s="321" t="str">
        <f xml:space="preserve"> IFERROR( INDEX(#REF!, MATCH($AE37,#REF!, 0)), "")</f>
        <v/>
      </c>
      <c r="D67" s="322"/>
      <c r="E67" s="322" t="str">
        <f xml:space="preserve"> IFERROR( INDEX(#REF!, MATCH($AE37,#REF!, 0)), "")</f>
        <v/>
      </c>
      <c r="F67" s="325" t="s">
        <v>526</v>
      </c>
      <c r="G67" s="326" t="s">
        <v>544</v>
      </c>
      <c r="H67" s="322"/>
      <c r="I67" s="323"/>
      <c r="J67" s="324" t="s">
        <v>543</v>
      </c>
      <c r="K67" s="327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39"/>
    </row>
    <row r="70" spans="2:15" ht="21">
      <c r="B70"/>
      <c r="C70"/>
      <c r="D70"/>
      <c r="E70"/>
      <c r="F70" s="440" t="s">
        <v>1569</v>
      </c>
      <c r="G70" s="440" t="s">
        <v>1570</v>
      </c>
      <c r="H70" s="440" t="s">
        <v>1571</v>
      </c>
      <c r="K70"/>
      <c r="L70"/>
      <c r="M70"/>
      <c r="N70"/>
      <c r="O70" s="439"/>
    </row>
    <row r="71" spans="2:15" ht="28.5">
      <c r="C71" s="242" t="s">
        <v>431</v>
      </c>
      <c r="D71" s="239" t="s">
        <v>441</v>
      </c>
      <c r="E71" s="239"/>
      <c r="F71" s="441">
        <f xml:space="preserve"> _xlfn.UNICODE(D71)</f>
        <v>63696</v>
      </c>
      <c r="G71" s="442" t="str">
        <f xml:space="preserve"> DEC2HEX(F71)</f>
        <v>F8D0</v>
      </c>
      <c r="H71" s="443" t="str">
        <f xml:space="preserve"> _xlfn.UNICHAR( HEX2DEC(G71))</f>
        <v></v>
      </c>
      <c r="K71"/>
      <c r="L71"/>
      <c r="M71"/>
      <c r="N71"/>
    </row>
    <row r="72" spans="2:15" ht="28.5">
      <c r="C72" s="242" t="s">
        <v>432</v>
      </c>
      <c r="D72" s="11" t="s">
        <v>442</v>
      </c>
      <c r="E72" s="11"/>
      <c r="F72" s="441">
        <f xml:space="preserve"> _xlfn.UNICODE(D72)</f>
        <v>63697</v>
      </c>
      <c r="G72" s="442" t="str">
        <f t="shared" ref="G72:G87" si="6" xml:space="preserve"> DEC2HEX(F72)</f>
        <v>F8D1</v>
      </c>
      <c r="H72" s="443" t="str">
        <f t="shared" ref="H72:H87" si="7" xml:space="preserve"> _xlfn.UNICHAR( HEX2DEC(G72))</f>
        <v></v>
      </c>
      <c r="K72"/>
      <c r="L72"/>
      <c r="M72"/>
      <c r="N72"/>
    </row>
    <row r="73" spans="2:15" ht="28.5">
      <c r="C73" s="242" t="s">
        <v>433</v>
      </c>
      <c r="D73" s="11" t="s">
        <v>443</v>
      </c>
      <c r="E73" s="11"/>
      <c r="F73" s="441">
        <f xml:space="preserve"> _xlfn.UNICODE(D73)</f>
        <v>63698</v>
      </c>
      <c r="G73" s="442" t="str">
        <f t="shared" si="6"/>
        <v>F8D2</v>
      </c>
      <c r="H73" s="443" t="str">
        <f t="shared" si="7"/>
        <v></v>
      </c>
      <c r="K73"/>
      <c r="L73"/>
      <c r="M73"/>
      <c r="N73"/>
    </row>
    <row r="74" spans="2:15" ht="28.5">
      <c r="C74" s="242" t="s">
        <v>434</v>
      </c>
      <c r="D74" s="11" t="s">
        <v>444</v>
      </c>
      <c r="E74" s="11"/>
      <c r="F74" s="441">
        <f xml:space="preserve"> _xlfn.UNICODE(D74)</f>
        <v>63699</v>
      </c>
      <c r="G74" s="442" t="str">
        <f t="shared" si="6"/>
        <v>F8D3</v>
      </c>
      <c r="H74" s="443" t="str">
        <f t="shared" si="7"/>
        <v></v>
      </c>
      <c r="K74"/>
      <c r="L74"/>
      <c r="M74"/>
      <c r="N74"/>
    </row>
    <row r="75" spans="2:15" ht="28.5">
      <c r="D75" s="11"/>
      <c r="E75" s="11"/>
      <c r="F75" s="441"/>
      <c r="G75" s="442"/>
      <c r="H75" s="443"/>
      <c r="K75"/>
      <c r="L75"/>
      <c r="M75"/>
      <c r="N75"/>
    </row>
    <row r="76" spans="2:15" ht="28.5">
      <c r="C76" s="242" t="s">
        <v>435</v>
      </c>
      <c r="D76" s="11" t="s">
        <v>445</v>
      </c>
      <c r="E76" s="11"/>
      <c r="F76" s="441">
        <f xml:space="preserve"> _xlfn.UNICODE(D76)</f>
        <v>63712</v>
      </c>
      <c r="G76" s="442" t="str">
        <f t="shared" si="6"/>
        <v>F8E0</v>
      </c>
      <c r="H76" s="443" t="str">
        <f t="shared" si="7"/>
        <v></v>
      </c>
      <c r="K76"/>
      <c r="L76"/>
      <c r="M76"/>
      <c r="N76"/>
    </row>
    <row r="77" spans="2:15" ht="28.5">
      <c r="C77" s="242" t="s">
        <v>436</v>
      </c>
      <c r="D77" s="11" t="s">
        <v>446</v>
      </c>
      <c r="E77" s="11"/>
      <c r="F77" s="441">
        <f xml:space="preserve"> _xlfn.UNICODE(D77)</f>
        <v>63713</v>
      </c>
      <c r="G77" s="442" t="str">
        <f t="shared" si="6"/>
        <v>F8E1</v>
      </c>
      <c r="H77" s="443" t="str">
        <f t="shared" si="7"/>
        <v></v>
      </c>
      <c r="K77"/>
      <c r="L77"/>
      <c r="M77"/>
      <c r="N77"/>
    </row>
    <row r="78" spans="2:15" ht="28.5">
      <c r="D78" s="11"/>
      <c r="E78" s="11"/>
      <c r="F78" s="441"/>
      <c r="G78" s="442"/>
      <c r="H78" s="443"/>
      <c r="K78"/>
      <c r="L78"/>
      <c r="M78"/>
      <c r="N78"/>
    </row>
    <row r="79" spans="2:15" ht="28.5">
      <c r="C79" s="242" t="s">
        <v>437</v>
      </c>
      <c r="D79" s="11" t="s">
        <v>447</v>
      </c>
      <c r="E79" s="11"/>
      <c r="F79" s="441">
        <f xml:space="preserve"> _xlfn.UNICODE(D79)</f>
        <v>63728</v>
      </c>
      <c r="G79" s="442" t="str">
        <f t="shared" si="6"/>
        <v>F8F0</v>
      </c>
      <c r="H79" s="443" t="str">
        <f t="shared" si="7"/>
        <v></v>
      </c>
      <c r="K79"/>
      <c r="L79"/>
      <c r="M79"/>
      <c r="N79"/>
    </row>
    <row r="80" spans="2:15" ht="28.5">
      <c r="C80" s="242" t="s">
        <v>438</v>
      </c>
      <c r="D80" s="11" t="s">
        <v>448</v>
      </c>
      <c r="E80" s="11"/>
      <c r="F80" s="441">
        <f xml:space="preserve"> _xlfn.UNICODE(D80)</f>
        <v>63729</v>
      </c>
      <c r="G80" s="442" t="str">
        <f t="shared" si="6"/>
        <v>F8F1</v>
      </c>
      <c r="H80" s="443" t="str">
        <f t="shared" si="7"/>
        <v></v>
      </c>
      <c r="K80"/>
      <c r="L80"/>
      <c r="M80"/>
      <c r="N80"/>
    </row>
    <row r="81" spans="3:14" ht="28.5">
      <c r="C81" s="242" t="s">
        <v>439</v>
      </c>
      <c r="D81" s="11" t="s">
        <v>449</v>
      </c>
      <c r="E81" s="11"/>
      <c r="F81" s="441">
        <f xml:space="preserve"> _xlfn.UNICODE(D81)</f>
        <v>63730</v>
      </c>
      <c r="G81" s="442" t="str">
        <f t="shared" si="6"/>
        <v>F8F2</v>
      </c>
      <c r="H81" s="443" t="str">
        <f t="shared" si="7"/>
        <v></v>
      </c>
      <c r="K81"/>
      <c r="L81"/>
      <c r="M81"/>
      <c r="N81"/>
    </row>
    <row r="82" spans="3:14" ht="28.5">
      <c r="C82" s="242" t="s">
        <v>440</v>
      </c>
      <c r="D82" s="11" t="s">
        <v>450</v>
      </c>
      <c r="E82" s="11"/>
      <c r="F82" s="441">
        <f xml:space="preserve"> _xlfn.UNICODE(D82)</f>
        <v>63731</v>
      </c>
      <c r="G82" s="442" t="str">
        <f t="shared" si="6"/>
        <v>F8F3</v>
      </c>
      <c r="H82" s="443" t="str">
        <f t="shared" si="7"/>
        <v></v>
      </c>
      <c r="K82"/>
      <c r="L82"/>
      <c r="M82"/>
      <c r="N82"/>
    </row>
    <row r="83" spans="3:14" ht="28.5">
      <c r="C83" s="242"/>
      <c r="D83" s="11"/>
      <c r="E83" s="11"/>
      <c r="F83" s="441"/>
      <c r="G83" s="442"/>
      <c r="H83" s="443"/>
      <c r="K83"/>
      <c r="L83"/>
      <c r="M83"/>
      <c r="N83"/>
    </row>
    <row r="84" spans="3:14" ht="28.5">
      <c r="D84" s="314" t="s">
        <v>577</v>
      </c>
      <c r="E84" s="314"/>
      <c r="F84" s="441">
        <f xml:space="preserve"> _xlfn.UNICODE(D84)</f>
        <v>12724</v>
      </c>
      <c r="G84" s="442" t="str">
        <f t="shared" si="6"/>
        <v>31B4</v>
      </c>
      <c r="H84" s="443" t="str">
        <f t="shared" si="7"/>
        <v>ㆴ</v>
      </c>
      <c r="K84"/>
      <c r="L84"/>
      <c r="M84"/>
      <c r="N84"/>
    </row>
    <row r="85" spans="3:14" ht="28.5">
      <c r="D85" s="314" t="s">
        <v>578</v>
      </c>
      <c r="E85" s="314"/>
      <c r="F85" s="441">
        <f xml:space="preserve"> _xlfn.UNICODE(D85)</f>
        <v>12725</v>
      </c>
      <c r="G85" s="442" t="str">
        <f t="shared" si="6"/>
        <v>31B5</v>
      </c>
      <c r="H85" s="443" t="str">
        <f t="shared" si="7"/>
        <v>ㆵ</v>
      </c>
      <c r="K85"/>
      <c r="L85"/>
      <c r="M85"/>
      <c r="N85"/>
    </row>
    <row r="86" spans="3:14" ht="28.5">
      <c r="D86" s="314" t="s">
        <v>579</v>
      </c>
      <c r="E86" s="314"/>
      <c r="F86" s="441">
        <f xml:space="preserve"> _xlfn.UNICODE(D86)</f>
        <v>12731</v>
      </c>
      <c r="G86" s="442" t="str">
        <f t="shared" si="6"/>
        <v>31BB</v>
      </c>
      <c r="H86" s="443" t="str">
        <f t="shared" si="7"/>
        <v>ㆻ</v>
      </c>
      <c r="K86"/>
      <c r="L86"/>
      <c r="M86"/>
      <c r="N86"/>
    </row>
    <row r="87" spans="3:14" ht="28.5">
      <c r="D87" s="314" t="s">
        <v>580</v>
      </c>
      <c r="E87" s="314"/>
      <c r="F87" s="441">
        <f xml:space="preserve"> _xlfn.UNICODE(D87)</f>
        <v>12727</v>
      </c>
      <c r="G87" s="442" t="str">
        <f t="shared" si="6"/>
        <v>31B7</v>
      </c>
      <c r="H87" s="443" t="str">
        <f t="shared" si="7"/>
        <v>ㆷ</v>
      </c>
      <c r="K87"/>
      <c r="L87"/>
      <c r="M87"/>
      <c r="N87"/>
    </row>
  </sheetData>
  <phoneticPr fontId="9" type="noConversion"/>
  <conditionalFormatting sqref="C3:I54 C57:H60 C62:H67">
    <cfRule type="cellIs" dxfId="3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topLeftCell="A39" workbookViewId="0">
      <selection activeCell="G57" sqref="G57"/>
    </sheetView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397</v>
      </c>
      <c r="C2" s="196" t="s">
        <v>1529</v>
      </c>
      <c r="D2" s="196"/>
      <c r="E2" s="196"/>
      <c r="F2" s="196"/>
      <c r="G2" s="196"/>
      <c r="H2" s="196"/>
      <c r="I2" s="196"/>
      <c r="J2" s="196"/>
    </row>
    <row r="4" spans="2:13">
      <c r="B4" t="s">
        <v>398</v>
      </c>
      <c r="C4" s="197" t="s">
        <v>337</v>
      </c>
    </row>
    <row r="5" spans="2:13" ht="23.25">
      <c r="B5" t="s">
        <v>399</v>
      </c>
      <c r="C5" s="11">
        <f xml:space="preserve"> SEARCH($C$4,$C$2,1) + 1</f>
        <v>12</v>
      </c>
      <c r="D5" s="2"/>
    </row>
    <row r="6" spans="2:13" ht="23.25">
      <c r="B6" t="s">
        <v>400</v>
      </c>
      <c r="C6" s="11">
        <f xml:space="preserve"> SEARCH($C$4,$C$2,C5+1) - 1</f>
        <v>63</v>
      </c>
      <c r="D6" s="2"/>
    </row>
    <row r="7" spans="2:13">
      <c r="B7" t="s">
        <v>401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402</v>
      </c>
      <c r="C8" s="198">
        <f xml:space="preserve"> LEN(C7)</f>
        <v>52</v>
      </c>
    </row>
    <row r="10" spans="2:13">
      <c r="B10" s="394" t="s">
        <v>1517</v>
      </c>
      <c r="C10" s="395" t="s">
        <v>1518</v>
      </c>
      <c r="D10" s="395" t="s">
        <v>261</v>
      </c>
      <c r="E10" s="263" t="s">
        <v>380</v>
      </c>
      <c r="F10" s="396" t="s">
        <v>250</v>
      </c>
      <c r="I10" s="394" t="s">
        <v>1517</v>
      </c>
      <c r="J10" s="395" t="s">
        <v>1518</v>
      </c>
      <c r="K10" s="395" t="s">
        <v>261</v>
      </c>
      <c r="L10" s="263" t="s">
        <v>380</v>
      </c>
      <c r="M10" s="396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93" t="str" cm="1">
        <f t="array" ref="D11" xml:space="preserve"> INDEX(注音編碼對照表[注音符號],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97" t="str" cm="1">
        <f t="array" ref="F11" xml:space="preserve"> INDEX(注音編碼對照表[國際音標], MATCH(TRUE, EXACT($C11, 注音編碼對照表[鍵盤按鍵] ),0))</f>
        <v>p</v>
      </c>
      <c r="I11" s="398">
        <f xml:space="preserve"> ROW() - 10</f>
        <v>1</v>
      </c>
      <c r="J11" s="399" t="s">
        <v>249</v>
      </c>
      <c r="K11" s="400" t="str" cm="1">
        <f t="array" ref="K11" xml:space="preserve"> INDEX(注音編碼對照表[注音符號], MATCH(TRUE, EXACT($J11, 注音編碼對照表[鍵盤按鍵] ),0))</f>
        <v>ㄅ</v>
      </c>
      <c r="L11" s="265" t="str" cm="1">
        <f t="array" ref="L11" xml:space="preserve"> INDEX(注音編碼對照表[注音編碼], MATCH(TRUE, EXACT($J11, 注音編碼對照表[鍵盤按鍵] ),0))</f>
        <v>p</v>
      </c>
      <c r="M11" s="401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93" t="str" cm="1">
        <f t="array" ref="D12" xml:space="preserve"> INDEX(注音編碼對照表[注音符號],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97" t="str" cm="1">
        <f t="array" ref="F12" xml:space="preserve"> INDEX(注音編碼對照表[國際音標], MATCH(TRUE, EXACT($C12, 注音編碼對照表[鍵盤按鍵] ),0))</f>
        <v>pʰ</v>
      </c>
      <c r="I12" s="402">
        <f t="shared" ref="I12:I62" si="2" xml:space="preserve"> ROW() - 10</f>
        <v>2</v>
      </c>
      <c r="J12" s="191" t="s">
        <v>248</v>
      </c>
      <c r="K12" s="393" t="str" cm="1">
        <f t="array" ref="K12" xml:space="preserve"> INDEX(注音編碼對照表[注音符號],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403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93" t="str" cm="1">
        <f t="array" ref="D13" xml:space="preserve"> INDEX(注音編碼對照表[注音符號],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97" t="str" cm="1">
        <f t="array" ref="F13" xml:space="preserve"> INDEX(注音編碼對照表[國際音標], MATCH(TRUE, EXACT($C13, 注音編碼對照表[鍵盤按鍵] ),0))</f>
        <v>b</v>
      </c>
      <c r="I13" s="402">
        <f t="shared" si="2"/>
        <v>3</v>
      </c>
      <c r="J13" s="191" t="s">
        <v>268</v>
      </c>
      <c r="K13" s="393" t="str" cm="1">
        <f t="array" ref="K13" xml:space="preserve"> INDEX(注音編碼對照表[注音符號],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403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93" t="str" cm="1">
        <f t="array" ref="D14" xml:space="preserve"> INDEX(注音編碼對照表[注音符號],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97" t="str" cm="1">
        <f t="array" ref="F14" xml:space="preserve"> INDEX(注音編碼對照表[國際音標], MATCH(TRUE, EXACT($C14, 注音編碼對照表[鍵盤按鍵] ),0))</f>
        <v>m</v>
      </c>
      <c r="I14" s="404">
        <f t="shared" si="2"/>
        <v>4</v>
      </c>
      <c r="J14" s="405" t="s">
        <v>247</v>
      </c>
      <c r="K14" s="406" t="str" cm="1">
        <f t="array" ref="K14" xml:space="preserve"> INDEX(注音編碼對照表[注音符號], MATCH(TRUE, EXACT($J14, 注音編碼對照表[鍵盤按鍵] ),0))</f>
        <v>ㄇ</v>
      </c>
      <c r="L14" s="269" t="str" cm="1">
        <f t="array" ref="L14" xml:space="preserve"> INDEX(注音編碼對照表[注音編碼], MATCH(TRUE, EXACT($J14, 注音編碼對照表[鍵盤按鍵] ),0))</f>
        <v>m</v>
      </c>
      <c r="M14" s="407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93" t="str" cm="1">
        <f t="array" ref="D15" xml:space="preserve"> INDEX(注音編碼對照表[注音符號],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97" t="str" cm="1">
        <f t="array" ref="F15" xml:space="preserve"> INDEX(注音編碼對照表[國際音標], MATCH(TRUE, EXACT($C15, 注音編碼對照表[鍵盤按鍵] ),0))</f>
        <v>t</v>
      </c>
      <c r="I15" s="398">
        <f t="shared" si="2"/>
        <v>5</v>
      </c>
      <c r="J15" s="399" t="s">
        <v>245</v>
      </c>
      <c r="K15" s="400" t="str" cm="1">
        <f t="array" ref="K15" xml:space="preserve"> INDEX(注音編碼對照表[注音符號], MATCH(TRUE, EXACT($J15, 注音編碼對照表[鍵盤按鍵] ),0))</f>
        <v>ㄉ</v>
      </c>
      <c r="L15" s="265" t="str" cm="1">
        <f t="array" ref="L15" xml:space="preserve"> INDEX(注音編碼對照表[注音編碼], MATCH(TRUE, EXACT($J15, 注音編碼對照表[鍵盤按鍵] ),0))</f>
        <v>t</v>
      </c>
      <c r="M15" s="401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93" t="str" cm="1">
        <f t="array" ref="D16" xml:space="preserve"> INDEX(注音編碼對照表[注音符號],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97" t="str" cm="1">
        <f t="array" ref="F16" xml:space="preserve"> INDEX(注音編碼對照表[國際音標], MATCH(TRUE, EXACT($C16, 注音編碼對照表[鍵盤按鍵] ),0))</f>
        <v>tʰ</v>
      </c>
      <c r="I16" s="402">
        <f t="shared" si="2"/>
        <v>6</v>
      </c>
      <c r="J16" s="191" t="s">
        <v>242</v>
      </c>
      <c r="K16" s="393" t="str" cm="1">
        <f t="array" ref="K16" xml:space="preserve"> INDEX(注音編碼對照表[注音符號],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403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93" t="str" cm="1">
        <f t="array" ref="D17" xml:space="preserve"> INDEX(注音編碼對照表[注音符號],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97" t="str" cm="1">
        <f t="array" ref="F17" xml:space="preserve"> INDEX(注音編碼對照表[國際音標], MATCH(TRUE, EXACT($C17, 注音編碼對照表[鍵盤按鍵] ),0))</f>
        <v>n</v>
      </c>
      <c r="I17" s="402">
        <f t="shared" si="2"/>
        <v>7</v>
      </c>
      <c r="J17" s="191" t="s">
        <v>239</v>
      </c>
      <c r="K17" s="393" t="str" cm="1">
        <f t="array" ref="K17" xml:space="preserve"> INDEX(注音編碼對照表[注音符號],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403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93" t="str" cm="1">
        <f t="array" ref="D18" xml:space="preserve"> INDEX(注音編碼對照表[注音符號],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97" t="str" cm="1">
        <f t="array" ref="F18" xml:space="preserve"> INDEX(注音編碼對照表[國際音標], MATCH(TRUE, EXACT($C18, 注音編碼對照表[鍵盤按鍵] ),0))</f>
        <v>l</v>
      </c>
      <c r="I18" s="404">
        <f t="shared" si="2"/>
        <v>8</v>
      </c>
      <c r="J18" s="405" t="s">
        <v>237</v>
      </c>
      <c r="K18" s="406" t="str" cm="1">
        <f t="array" ref="K18" xml:space="preserve"> INDEX(注音編碼對照表[注音符號], MATCH(TRUE, EXACT($J18, 注音編碼對照表[鍵盤按鍵] ),0))</f>
        <v>ㄌ</v>
      </c>
      <c r="L18" s="269" t="str" cm="1">
        <f t="array" ref="L18" xml:space="preserve"> INDEX(注音編碼對照表[注音編碼], MATCH(TRUE, EXACT($J18, 注音編碼對照表[鍵盤按鍵] ),0))</f>
        <v>l</v>
      </c>
      <c r="M18" s="407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93" t="str" cm="1">
        <f t="array" ref="D19" xml:space="preserve"> INDEX(注音編碼對照表[注音符號],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97" t="str" cm="1">
        <f t="array" ref="F19" xml:space="preserve"> INDEX(注音編碼對照表[國際音標], MATCH(TRUE, EXACT($C19, 注音編碼對照表[鍵盤按鍵] ),0))</f>
        <v>ts</v>
      </c>
      <c r="I19" s="398">
        <f t="shared" si="2"/>
        <v>9</v>
      </c>
      <c r="J19" s="399" t="s">
        <v>381</v>
      </c>
      <c r="K19" s="400" t="str" cm="1">
        <f t="array" ref="K19" xml:space="preserve"> INDEX(注音編碼對照表[注音符號], MATCH(TRUE, EXACT($J19, 注音編碼對照表[鍵盤按鍵] ),0))</f>
        <v>ㄗ</v>
      </c>
      <c r="L19" s="265" t="str" cm="1">
        <f t="array" ref="L19" xml:space="preserve"> INDEX(注音編碼對照表[注音編碼], MATCH(TRUE, EXACT($J19, 注音編碼對照表[鍵盤按鍵] ),0))</f>
        <v>z</v>
      </c>
      <c r="M19" s="401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93" t="str" cm="1">
        <f t="array" ref="D20" xml:space="preserve"> INDEX(注音編碼對照表[注音符號],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97" t="str" cm="1">
        <f t="array" ref="F20" xml:space="preserve"> INDEX(注音編碼對照表[國際音標], MATCH(TRUE, EXACT($C20, 注音編碼對照表[鍵盤按鍵] ),0))</f>
        <v>ʦʰ</v>
      </c>
      <c r="I20" s="402">
        <f t="shared" si="2"/>
        <v>10</v>
      </c>
      <c r="J20" s="191" t="s">
        <v>282</v>
      </c>
      <c r="K20" s="393" t="str" cm="1">
        <f t="array" ref="K20" xml:space="preserve"> INDEX(注音編碼對照表[注音符號],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403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93" t="str" cm="1">
        <f t="array" ref="D21" xml:space="preserve"> INDEX(注音編碼對照表[注音符號],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97" t="str" cm="1">
        <f t="array" ref="F21" xml:space="preserve"> INDEX(注音編碼對照表[國際音標], MATCH(TRUE, EXACT($C21, 注音編碼對照表[鍵盤按鍵] ),0))</f>
        <v>s</v>
      </c>
      <c r="I21" s="402">
        <f t="shared" si="2"/>
        <v>11</v>
      </c>
      <c r="J21" s="191" t="s">
        <v>34</v>
      </c>
      <c r="K21" s="393" t="str" cm="1">
        <f t="array" ref="K21" xml:space="preserve"> INDEX(注音編碼對照表[注音符號],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403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93" t="str" cm="1">
        <f t="array" ref="D22" xml:space="preserve"> INDEX(注音編碼對照表[注音符號],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97" t="str" cm="1">
        <f t="array" ref="F22" xml:space="preserve"> INDEX(注音編碼對照表[國際音標], MATCH(TRUE, EXACT($C22, 注音編碼對照表[鍵盤按鍵] ),0))</f>
        <v>ʣ</v>
      </c>
      <c r="I22" s="404">
        <f t="shared" si="2"/>
        <v>12</v>
      </c>
      <c r="J22" s="405" t="s">
        <v>165</v>
      </c>
      <c r="K22" s="406" t="str" cm="1">
        <f t="array" ref="K22" xml:space="preserve"> INDEX(注音編碼對照表[注音符號], MATCH(TRUE, EXACT($J22, 注音編碼對照表[鍵盤按鍵] ),0))</f>
        <v>ㆡ</v>
      </c>
      <c r="L22" s="269" t="str" cm="1">
        <f t="array" ref="L22" xml:space="preserve"> INDEX(注音編碼對照表[注音編碼], MATCH(TRUE, EXACT($J22, 注音編碼對照表[鍵盤按鍵] ),0))</f>
        <v>j</v>
      </c>
      <c r="M22" s="407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93" t="str" cm="1">
        <f t="array" ref="D23" xml:space="preserve"> INDEX(注音編碼對照表[注音符號],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97" t="str" cm="1">
        <f t="array" ref="F23" xml:space="preserve"> INDEX(注音編碼對照表[國際音標], MATCH(TRUE, EXACT($C23, 注音編碼對照表[鍵盤按鍵] ),0))</f>
        <v>ʨ</v>
      </c>
      <c r="I23" s="398">
        <f t="shared" si="2"/>
        <v>13</v>
      </c>
      <c r="J23" s="399" t="s">
        <v>294</v>
      </c>
      <c r="K23" s="400" t="str" cm="1">
        <f t="array" ref="K23" xml:space="preserve"> INDEX(注音編碼對照表[注音符號], MATCH(TRUE, EXACT($J23, 注音編碼對照表[鍵盤按鍵] ),0))</f>
        <v>ㄐ</v>
      </c>
      <c r="L23" s="265" t="str" cm="1">
        <f t="array" ref="L23" xml:space="preserve"> INDEX(注音編碼對照表[注音編碼], MATCH(TRUE, EXACT($J23, 注音編碼對照表[鍵盤按鍵] ),0))</f>
        <v>Z</v>
      </c>
      <c r="M23" s="401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93" t="str" cm="1">
        <f t="array" ref="D24" xml:space="preserve"> INDEX(注音編碼對照表[注音符號],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97" t="str" cm="1">
        <f t="array" ref="F24" xml:space="preserve"> INDEX(注音編碼對照表[國際音標], MATCH(TRUE, EXACT($C24, 注音編碼對照表[鍵盤按鍵] ),0))</f>
        <v>ʨʰ</v>
      </c>
      <c r="I24" s="402">
        <f t="shared" si="2"/>
        <v>14</v>
      </c>
      <c r="J24" s="191" t="s">
        <v>297</v>
      </c>
      <c r="K24" s="393" t="str" cm="1">
        <f t="array" ref="K24" xml:space="preserve"> INDEX(注音編碼對照表[注音符號],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403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93" t="str" cm="1">
        <f t="array" ref="D25" xml:space="preserve"> INDEX(注音編碼對照表[注音符號],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97" t="str" cm="1">
        <f t="array" ref="F25" xml:space="preserve"> INDEX(注音編碼對照表[國際音標], MATCH(TRUE, EXACT($C25, 注音編碼對照表[鍵盤按鍵] ),0))</f>
        <v>ɕ</v>
      </c>
      <c r="I25" s="402">
        <f t="shared" si="2"/>
        <v>15</v>
      </c>
      <c r="J25" s="191" t="s">
        <v>368</v>
      </c>
      <c r="K25" s="393" t="str" cm="1">
        <f t="array" ref="K25" xml:space="preserve"> INDEX(注音編碼對照表[注音符號],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403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93" t="str" cm="1">
        <f t="array" ref="D26" xml:space="preserve"> INDEX(注音編碼對照表[注音符號],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97" t="str" cm="1">
        <f t="array" ref="F26" xml:space="preserve"> INDEX(注音編碼對照表[國際音標], MATCH(TRUE, EXACT($C26, 注音編碼對照表[鍵盤按鍵] ),0))</f>
        <v>ʥ</v>
      </c>
      <c r="I26" s="404">
        <f t="shared" si="2"/>
        <v>16</v>
      </c>
      <c r="J26" s="405" t="s">
        <v>143</v>
      </c>
      <c r="K26" s="406" t="str" cm="1">
        <f t="array" ref="K26" xml:space="preserve"> INDEX(注音編碼對照表[注音符號], MATCH(TRUE, EXACT($J26, 注音編碼對照表[鍵盤按鍵] ),0))</f>
        <v>ㆢ</v>
      </c>
      <c r="L26" s="269" t="str" cm="1">
        <f t="array" ref="L26" xml:space="preserve"> INDEX(注音編碼對照表[注音編碼], MATCH(TRUE, EXACT($J26, 注音編碼對照表[鍵盤按鍵] ),0))</f>
        <v>J</v>
      </c>
      <c r="M26" s="407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93" t="str" cm="1">
        <f t="array" ref="D27" xml:space="preserve"> INDEX(注音編碼對照表[注音符號],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97" t="str" cm="1">
        <f t="array" ref="F27" xml:space="preserve"> INDEX(注音編碼對照表[國際音標], MATCH(TRUE, EXACT($C27, 注音編碼對照表[鍵盤按鍵] ),0))</f>
        <v>k</v>
      </c>
      <c r="I27" s="398">
        <f t="shared" si="2"/>
        <v>17</v>
      </c>
      <c r="J27" s="399" t="s">
        <v>234</v>
      </c>
      <c r="K27" s="400" t="str" cm="1">
        <f t="array" ref="K27" xml:space="preserve"> INDEX(注音編碼對照表[注音符號], MATCH(TRUE, EXACT($J27, 注音編碼對照表[鍵盤按鍵] ),0))</f>
        <v>ㄍ</v>
      </c>
      <c r="L27" s="265" t="str" cm="1">
        <f t="array" ref="L27" xml:space="preserve"> INDEX(注音編碼對照表[注音編碼], MATCH(TRUE, EXACT($J27, 注音編碼對照表[鍵盤按鍵] ),0))</f>
        <v>k</v>
      </c>
      <c r="M27" s="401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93" t="str" cm="1">
        <f t="array" ref="D28" xml:space="preserve"> INDEX(注音編碼對照表[注音符號],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97" t="str" cm="1">
        <f t="array" ref="F28" xml:space="preserve"> INDEX(注音編碼對照表[國際音標], MATCH(TRUE, EXACT($C28, 注音編碼對照表[鍵盤按鍵] ),0))</f>
        <v>kʰ</v>
      </c>
      <c r="I28" s="402">
        <f t="shared" si="2"/>
        <v>18</v>
      </c>
      <c r="J28" s="191" t="s">
        <v>226</v>
      </c>
      <c r="K28" s="393" t="str" cm="1">
        <f t="array" ref="K28" xml:space="preserve"> INDEX(注音編碼對照表[注音符號],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403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93" t="str" cm="1">
        <f t="array" ref="D29" xml:space="preserve"> INDEX(注音編碼對照表[注音符號],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97" t="str" cm="1">
        <f t="array" ref="F29" xml:space="preserve"> INDEX(注音編碼對照表[國際音標], MATCH(TRUE, EXACT($C29, 注音編碼對照表[鍵盤按鍵] ),0))</f>
        <v>g</v>
      </c>
      <c r="I29" s="402">
        <f t="shared" si="2"/>
        <v>19</v>
      </c>
      <c r="J29" s="191" t="s">
        <v>231</v>
      </c>
      <c r="K29" s="393" t="str" cm="1">
        <f t="array" ref="K29" xml:space="preserve"> INDEX(注音編碼對照表[注音符號],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403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93" t="str" cm="1">
        <f t="array" ref="D30" xml:space="preserve"> INDEX(注音編碼對照表[注音符號],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97" t="str" cm="1">
        <f t="array" ref="F30" xml:space="preserve"> INDEX(注音編碼對照表[國際音標], MATCH(TRUE, EXACT($C30, 注音編碼對照表[鍵盤按鍵] ),0))</f>
        <v>ŋ</v>
      </c>
      <c r="I30" s="402">
        <f t="shared" si="2"/>
        <v>20</v>
      </c>
      <c r="J30" s="408" t="s">
        <v>42</v>
      </c>
      <c r="K30" s="409" t="str" cm="1">
        <f t="array" ref="K30" xml:space="preserve"> INDEX(注音編碼對照表[注音符號], MATCH(TRUE, EXACT($J30, 注音編碼對照表[鍵盤按鍵] ),0))</f>
        <v>ㄫ</v>
      </c>
      <c r="L30" s="410" t="str" cm="1">
        <f t="array" ref="L30" xml:space="preserve"> INDEX(注音編碼對照表[注音編碼], MATCH(TRUE, EXACT($J30, 注音編碼對照表[鍵盤按鍵] ),0))</f>
        <v>w</v>
      </c>
      <c r="M30" s="411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93" t="str" cm="1">
        <f t="array" ref="D31" xml:space="preserve"> INDEX(注音編碼對照表[注音符號],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97" t="str" cm="1">
        <f t="array" ref="F31" xml:space="preserve"> INDEX(注音編碼對照表[國際音標], MATCH(TRUE, EXACT($C31, 注音編碼對照表[鍵盤按鍵] ),0))</f>
        <v>h</v>
      </c>
      <c r="I31" s="404">
        <f t="shared" si="2"/>
        <v>21</v>
      </c>
      <c r="J31" s="405" t="s">
        <v>223</v>
      </c>
      <c r="K31" s="406" t="str" cm="1">
        <f t="array" ref="K31" xml:space="preserve"> INDEX(注音編碼對照表[注音符號], MATCH(TRUE, EXACT($J31, 注音編碼對照表[鍵盤按鍵] ),0))</f>
        <v>ㄏ</v>
      </c>
      <c r="L31" s="269" t="str" cm="1">
        <f t="array" ref="L31" xml:space="preserve"> INDEX(注音編碼對照表[注音編碼], MATCH(TRUE, EXACT($J31, 注音編碼對照表[鍵盤按鍵] ),0))</f>
        <v>h</v>
      </c>
      <c r="M31" s="407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93" t="str" cm="1">
        <f t="array" ref="D32" xml:space="preserve"> INDEX(注音編碼對照表[注音符號],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97" t="str" cm="1">
        <f t="array" ref="F32" xml:space="preserve"> INDEX(注音編碼對照表[國際音標], MATCH(TRUE, EXACT($C32, 注音編碼對照表[鍵盤按鍵] ),0))</f>
        <v>i</v>
      </c>
      <c r="I32" s="398">
        <f t="shared" si="2"/>
        <v>22</v>
      </c>
      <c r="J32" s="399" t="s">
        <v>170</v>
      </c>
      <c r="K32" s="400" t="str" cm="1">
        <f t="array" ref="K32" xml:space="preserve"> INDEX(注音編碼對照表[注音符號], MATCH(TRUE, EXACT($J32, 注音編碼對照表[鍵盤按鍵] ),0))</f>
        <v>ㄧ</v>
      </c>
      <c r="L32" s="265" t="str" cm="1">
        <f t="array" ref="L32" xml:space="preserve"> INDEX(注音編碼對照表[注音編碼], MATCH(TRUE, EXACT($J32, 注音編碼對照表[鍵盤按鍵] ),0))</f>
        <v>i</v>
      </c>
      <c r="M32" s="401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93" t="str" cm="1">
        <f t="array" ref="D33" xml:space="preserve"> INDEX(注音編碼對照表[注音符號],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97" t="str" cm="1">
        <f t="array" ref="F33" xml:space="preserve"> INDEX(注音編碼對照表[國際音標], MATCH(TRUE, EXACT($C33, 注音編碼對照表[鍵盤按鍵] ),0))</f>
        <v>u</v>
      </c>
      <c r="I33" s="402">
        <f t="shared" si="2"/>
        <v>23</v>
      </c>
      <c r="J33" s="191" t="s">
        <v>194</v>
      </c>
      <c r="K33" s="393" t="str" cm="1">
        <f t="array" ref="K33" xml:space="preserve"> INDEX(注音編碼對照表[注音符號],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403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93" t="str" cm="1">
        <f t="array" ref="D34" xml:space="preserve"> INDEX(注音編碼對照表[注音符號],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97" t="str" cm="1">
        <f t="array" ref="F34" xml:space="preserve"> INDEX(注音編碼對照表[國際音標], MATCH(TRUE, EXACT($C34, 注音編碼對照表[鍵盤按鍵] ),0))</f>
        <v>a</v>
      </c>
      <c r="I34" s="402">
        <f t="shared" si="2"/>
        <v>24</v>
      </c>
      <c r="J34" s="191" t="s">
        <v>382</v>
      </c>
      <c r="K34" s="393" t="str" cm="1">
        <f t="array" ref="K34" xml:space="preserve"> INDEX(注音編碼對照表[注音符號],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403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93" t="str" cm="1">
        <f t="array" ref="D35" xml:space="preserve"> INDEX(注音編碼對照表[注音符號],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97" t="str" cm="1">
        <f t="array" ref="F35" xml:space="preserve"> INDEX(注音編碼對照表[國際音標], MATCH(TRUE, EXACT($C35, 注音編碼對照表[鍵盤按鍵] ),0))</f>
        <v>ɔ</v>
      </c>
      <c r="I35" s="402">
        <f t="shared" si="2"/>
        <v>25</v>
      </c>
      <c r="J35" s="191" t="s">
        <v>207</v>
      </c>
      <c r="K35" s="393" t="str" cm="1">
        <f t="array" ref="K35" xml:space="preserve"> INDEX(注音編碼對照表[注音符號],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403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93" t="str" cm="1">
        <f t="array" ref="D36" xml:space="preserve"> INDEX(注音編碼對照表[注音符號],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97" t="str" cm="1">
        <f t="array" ref="F36" xml:space="preserve"> INDEX(注音編碼對照表[國際音標], MATCH(TRUE, EXACT($C36, 注音編碼對照表[鍵盤按鍵] ),0))</f>
        <v>ə</v>
      </c>
      <c r="I36" s="402">
        <f t="shared" si="2"/>
        <v>26</v>
      </c>
      <c r="J36" s="191" t="s">
        <v>37</v>
      </c>
      <c r="K36" s="393" t="str" cm="1">
        <f t="array" ref="K36" xml:space="preserve"> INDEX(注音編碼對照表[注音符號],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403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93" t="str" cm="1">
        <f t="array" ref="D37" xml:space="preserve"> INDEX(注音編碼對照表[注音符號],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97" t="str" cm="1">
        <f t="array" ref="F37" xml:space="preserve"> INDEX(注音編碼對照表[國際音標], MATCH(TRUE, EXACT($C37, 注音編碼對照表[鍵盤按鍵] ),0))</f>
        <v>e</v>
      </c>
      <c r="I37" s="402">
        <f t="shared" si="2"/>
        <v>27</v>
      </c>
      <c r="J37" s="191" t="s">
        <v>182</v>
      </c>
      <c r="K37" s="393" t="str" cm="1">
        <f t="array" ref="K37" xml:space="preserve"> INDEX(注音編碼對照表[注音符號],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403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93" t="str" cm="1">
        <f t="array" ref="D38" xml:space="preserve"> INDEX(注音編碼對照表[注音符號],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97" t="str" cm="1">
        <f t="array" ref="F38" xml:space="preserve"> INDEX(注音編碼對照表[國際音標], MATCH(TRUE, EXACT($C38, 注音編碼對照表[鍵盤按鍵] ),0))</f>
        <v>ai</v>
      </c>
      <c r="I38" s="402">
        <f t="shared" si="2"/>
        <v>28</v>
      </c>
      <c r="J38" s="191" t="s">
        <v>199</v>
      </c>
      <c r="K38" s="393" t="str" cm="1">
        <f t="array" ref="K38" xml:space="preserve"> INDEX(注音編碼對照表[注音符號],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403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93" t="str" cm="1">
        <f t="array" ref="D39" xml:space="preserve"> INDEX(注音編碼對照表[注音符號],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97" t="str" cm="1">
        <f t="array" ref="F39" xml:space="preserve"> INDEX(注音編碼對照表[國際音標], MATCH(TRUE, EXACT($C39, 注音編碼對照表[鍵盤按鍵] ),0))</f>
        <v>ɑu</v>
      </c>
      <c r="I39" s="404">
        <f t="shared" si="2"/>
        <v>29</v>
      </c>
      <c r="J39" s="405" t="s">
        <v>86</v>
      </c>
      <c r="K39" s="406" t="str" cm="1">
        <f t="array" ref="K39" xml:space="preserve"> INDEX(注音編碼對照表[注音符號], MATCH(TRUE, EXACT($J39, 注音編碼對照表[鍵盤按鍵] ),0))</f>
        <v>ㄠ</v>
      </c>
      <c r="L39" s="269" t="str" cm="1">
        <f t="array" ref="L39" xml:space="preserve"> INDEX(注音編碼對照表[注音編碼], MATCH(TRUE, EXACT($J39, 注音編碼對照表[鍵盤按鍵] ),0))</f>
        <v>x</v>
      </c>
      <c r="M39" s="407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93" t="str" cm="1">
        <f t="array" ref="D40" xml:space="preserve"> INDEX(注音編碼對照表[注音符號],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97" t="str" cm="1">
        <f t="array" ref="F40" xml:space="preserve"> INDEX(注音編碼對照表[國際音標], MATCH(TRUE, EXACT($C40, 注音編碼對照表[鍵盤按鍵] ),0))</f>
        <v>ĩ</v>
      </c>
      <c r="I40" s="398">
        <f t="shared" si="2"/>
        <v>30</v>
      </c>
      <c r="J40" s="399" t="s">
        <v>197</v>
      </c>
      <c r="K40" s="400" t="str" cm="1">
        <f t="array" ref="K40" xml:space="preserve"> INDEX(注音編碼對照表[注音符號], MATCH(TRUE, EXACT($J40, 注音編碼對照表[鍵盤按鍵] ),0))</f>
        <v>ㆪ</v>
      </c>
      <c r="L40" s="265" t="str" cm="1">
        <f t="array" ref="L40" xml:space="preserve"> INDEX(注音編碼對照表[注音編碼], MATCH(TRUE, EXACT($J40, 注音編碼對照表[鍵盤按鍵] ),0))</f>
        <v>I</v>
      </c>
      <c r="M40" s="401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93" t="str" cm="1">
        <f t="array" ref="D41" xml:space="preserve"> INDEX(注音編碼對照表[注音符號],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97" t="str" cm="1">
        <f t="array" ref="F41" xml:space="preserve"> INDEX(注音編碼對照表[國際音標], MATCH(TRUE, EXACT($C41, 注音編碼對照表[鍵盤按鍵] ),0))</f>
        <v>ũ</v>
      </c>
      <c r="I41" s="402">
        <f t="shared" si="2"/>
        <v>31</v>
      </c>
      <c r="J41" s="191" t="s">
        <v>192</v>
      </c>
      <c r="K41" s="393" t="str" cm="1">
        <f t="array" ref="K41" xml:space="preserve"> INDEX(注音編碼對照表[注音符號],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403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93" t="str" cm="1">
        <f t="array" ref="D42" xml:space="preserve"> INDEX(注音編碼對照表[注音符號],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97" t="str" cm="1">
        <f t="array" ref="F42" xml:space="preserve"> INDEX(注音編碼對照表[國際音標], MATCH(TRUE, EXACT($C42, 注音編碼對照表[鍵盤按鍵] ),0))</f>
        <v>ã</v>
      </c>
      <c r="I42" s="402">
        <f t="shared" si="2"/>
        <v>32</v>
      </c>
      <c r="J42" s="191" t="s">
        <v>208</v>
      </c>
      <c r="K42" s="393" t="str" cm="1">
        <f t="array" ref="K42" xml:space="preserve"> INDEX(注音編碼對照表[注音符號],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403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93" t="str" cm="1">
        <f t="array" ref="D43" xml:space="preserve"> INDEX(注音編碼對照表[注音符號],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97" t="str" cm="1">
        <f t="array" ref="F43" xml:space="preserve"> INDEX(注音編碼對照表[國際音標], MATCH(TRUE, EXACT($C43, 注音編碼對照表[鍵盤按鍵] ),0))</f>
        <v>ɔ̃</v>
      </c>
      <c r="I43" s="402">
        <f t="shared" si="2"/>
        <v>33</v>
      </c>
      <c r="J43" s="191" t="s">
        <v>205</v>
      </c>
      <c r="K43" s="393" t="str" cm="1">
        <f t="array" ref="K43" xml:space="preserve"> INDEX(注音編碼對照表[注音符號],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403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93" t="str" cm="1">
        <f t="array" ref="D44" xml:space="preserve"> INDEX(注音編碼對照表[注音符號],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97" t="str" cm="1">
        <f t="array" ref="F44" xml:space="preserve"> INDEX(注音編碼對照表[國際音標], MATCH(TRUE, EXACT($C44, 注音編碼對照表[鍵盤按鍵] ),0))</f>
        <v>ẽ</v>
      </c>
      <c r="I44" s="402">
        <f t="shared" si="2"/>
        <v>34</v>
      </c>
      <c r="J44" s="191" t="s">
        <v>181</v>
      </c>
      <c r="K44" s="393" t="str" cm="1">
        <f t="array" ref="K44" xml:space="preserve"> INDEX(注音編碼對照表[注音符號],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403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93" t="str" cm="1">
        <f t="array" ref="D45" xml:space="preserve"> INDEX(注音編碼對照表[注音符號],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97" t="str" cm="1">
        <f t="array" ref="F45" xml:space="preserve"> INDEX(注音編碼對照表[國際音標], MATCH(TRUE, EXACT($C45, 注音編碼對照表[鍵盤按鍵] ),0))</f>
        <v>ãĩ</v>
      </c>
      <c r="I45" s="402">
        <f t="shared" si="2"/>
        <v>35</v>
      </c>
      <c r="J45" s="191" t="s">
        <v>188</v>
      </c>
      <c r="K45" s="393" t="str" cm="1">
        <f t="array" ref="K45" xml:space="preserve"> INDEX(注音編碼對照表[注音符號],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403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93" t="str" cm="1">
        <f t="array" ref="D46" xml:space="preserve"> INDEX(注音編碼對照表[注音符號],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97" t="str" cm="1">
        <f t="array" ref="F46" xml:space="preserve"> INDEX(注音編碼對照表[國際音標], MATCH(TRUE, EXACT($C46, 注音編碼對照表[鍵盤按鍵] ),0))</f>
        <v>ãũ</v>
      </c>
      <c r="I46" s="404">
        <f t="shared" si="2"/>
        <v>36</v>
      </c>
      <c r="J46" s="405" t="s">
        <v>186</v>
      </c>
      <c r="K46" s="406" t="str" cm="1">
        <f t="array" ref="K46" xml:space="preserve"> INDEX(注音編碼對照表[注音符號], MATCH(TRUE, EXACT($J46, 注音編碼對照表[鍵盤按鍵] ),0))</f>
        <v>ㆯ</v>
      </c>
      <c r="L46" s="269" t="str" cm="1">
        <f t="array" ref="L46" xml:space="preserve"> INDEX(注音編碼對照表[注音編碼], MATCH(TRUE, EXACT($J46, 注音編碼對照表[鍵盤按鍵] ),0))</f>
        <v>X</v>
      </c>
      <c r="M46" s="407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93" t="str" cm="1">
        <f t="array" ref="D47" xml:space="preserve"> INDEX(注音編碼對照表[注音符號],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97" t="str" cm="1">
        <f t="array" ref="F47" xml:space="preserve"> INDEX(注音編碼對照表[國際音標], MATCH(TRUE, EXACT($C47, 注音編碼對照表[鍵盤按鍵] ),0))</f>
        <v>ɨ</v>
      </c>
      <c r="I47" s="412">
        <f t="shared" si="2"/>
        <v>37</v>
      </c>
      <c r="J47" s="413" t="s">
        <v>171</v>
      </c>
      <c r="K47" s="414" t="str" cm="1">
        <f t="array" ref="K47" xml:space="preserve"> INDEX(注音編碼對照表[注音符號], MATCH(TRUE, EXACT($J47, 注音編碼對照表[鍵盤按鍵] ),0))</f>
        <v>ㆨ</v>
      </c>
      <c r="L47" s="415" t="str" cm="1">
        <f t="array" ref="L47" xml:space="preserve"> INDEX(注音編碼對照表[注音編碼], MATCH(TRUE, EXACT($J47, 注音編碼對照表[鍵盤按鍵] ),0))</f>
        <v>R</v>
      </c>
      <c r="M47" s="416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93" t="str" cm="1">
        <f t="array" ref="D48" xml:space="preserve"> INDEX(注音編碼對照表[注音符號],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97" t="str" cm="1">
        <f t="array" ref="F48" xml:space="preserve"> INDEX(注音編碼對照表[國際音標], MATCH(TRUE, EXACT($C48, 注音編碼對照表[鍵盤按鍵] ),0))</f>
        <v>am</v>
      </c>
      <c r="I48" s="398">
        <f t="shared" si="2"/>
        <v>38</v>
      </c>
      <c r="J48" s="399" t="s">
        <v>312</v>
      </c>
      <c r="K48" s="400" t="str" cm="1">
        <f t="array" ref="K48" xml:space="preserve"> INDEX(注音編碼對照表[注音符號], MATCH(TRUE, EXACT($J48, 注音編碼對照表[鍵盤按鍵] ),0))</f>
        <v>ㆰ</v>
      </c>
      <c r="L48" s="265" t="str" cm="1">
        <f t="array" ref="L48" xml:space="preserve"> INDEX(注音編碼對照表[注音編碼], MATCH(TRUE, EXACT($J48, 注音編碼對照表[鍵盤按鍵] ),0))</f>
        <v>V</v>
      </c>
      <c r="M48" s="401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93" t="str" cm="1">
        <f t="array" ref="D49" xml:space="preserve"> INDEX(注音編碼對照表[注音符號],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97" t="str" cm="1">
        <f t="array" ref="F49" xml:space="preserve"> INDEX(注音編碼對照表[國際音標], MATCH(TRUE, EXACT($C49, 注音編碼對照表[鍵盤按鍵] ),0))</f>
        <v>an</v>
      </c>
      <c r="I49" s="402">
        <f t="shared" si="2"/>
        <v>39</v>
      </c>
      <c r="J49" s="191" t="s">
        <v>180</v>
      </c>
      <c r="K49" s="393" t="str" cm="1">
        <f t="array" ref="K49" xml:space="preserve"> INDEX(注音編碼對照表[注音符號],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403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93" t="str" cm="1">
        <f t="array" ref="D50" xml:space="preserve"> INDEX(注音編碼對照表[注音符號],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97" t="str" cm="1">
        <f t="array" ref="F50" xml:space="preserve"> INDEX(注音編碼對照表[國際音標], MATCH(TRUE, EXACT($C50, 注音編碼對照表[鍵盤按鍵] ),0))</f>
        <v>ɑŋ</v>
      </c>
      <c r="I50" s="404">
        <f t="shared" si="2"/>
        <v>40</v>
      </c>
      <c r="J50" s="405" t="s">
        <v>176</v>
      </c>
      <c r="K50" s="406" t="str" cm="1">
        <f t="array" ref="K50" xml:space="preserve"> INDEX(注音編碼對照表[注音符號], MATCH(TRUE, EXACT($J50, 注音編碼對照表[鍵盤按鍵] ),0))</f>
        <v>ㄤ</v>
      </c>
      <c r="L50" s="269" t="str" cm="1">
        <f t="array" ref="L50" xml:space="preserve"> INDEX(注音編碼對照表[注音編碼], MATCH(TRUE, EXACT($J50, 注音編碼對照表[鍵盤按鍵] ),0))</f>
        <v>G</v>
      </c>
      <c r="M50" s="407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93" t="str" cm="1">
        <f t="array" ref="D51" xml:space="preserve"> INDEX(注音編碼對照表[注音符號],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97" t="str" cm="1">
        <f t="array" ref="F51" xml:space="preserve"> INDEX(注音編碼對照表[國際音標], MATCH(TRUE, EXACT($C51, 注音編碼對照表[鍵盤按鍵] ),0))</f>
        <v>ɔm</v>
      </c>
      <c r="I51" s="398">
        <f t="shared" si="2"/>
        <v>41</v>
      </c>
      <c r="J51" s="399" t="s">
        <v>201</v>
      </c>
      <c r="K51" s="400" t="str" cm="1">
        <f t="array" ref="K51" xml:space="preserve"> INDEX(注音編碼對照表[注音符號], MATCH(TRUE, EXACT($J51, 注音編碼對照表[鍵盤按鍵] ),0))</f>
        <v>ㆱ</v>
      </c>
      <c r="L51" s="265" t="str" cm="1">
        <f t="array" ref="L51" xml:space="preserve"> INDEX(注音編碼對照表[注音編碼], MATCH(TRUE, EXACT($J51, 注音編碼對照表[鍵盤按鍵] ),0))</f>
        <v>D</v>
      </c>
      <c r="M51" s="401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93" t="str" cm="1">
        <f t="array" ref="D52" xml:space="preserve"> INDEX(注音編碼對照表[注音符號],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97" t="str" cm="1">
        <f t="array" ref="F52" xml:space="preserve"> INDEX(注音編碼對照表[國際音標], MATCH(TRUE, EXACT($C52, 注音編碼對照表[鍵盤按鍵] ),0))</f>
        <v>ɔŋ</v>
      </c>
      <c r="I52" s="404">
        <f t="shared" si="2"/>
        <v>42</v>
      </c>
      <c r="J52" s="405" t="s">
        <v>66</v>
      </c>
      <c r="K52" s="406" t="str" cm="1">
        <f t="array" ref="K52" xml:space="preserve"> INDEX(注音編碼對照表[注音符號], MATCH(TRUE, EXACT($J52, 注音編碼對照表[鍵盤按鍵] ),0))</f>
        <v>ㆲ</v>
      </c>
      <c r="L52" s="269" t="str" cm="1">
        <f t="array" ref="L52" xml:space="preserve"> INDEX(注音編碼對照表[注音編碼], MATCH(TRUE, EXACT($J52, 注音編碼對照表[鍵盤按鍵] ),0))</f>
        <v>H</v>
      </c>
      <c r="M52" s="407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93" t="str" cm="1">
        <f t="array" ref="D53" xml:space="preserve"> INDEX(注音編碼對照表[注音符號],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97" t="str" cm="1">
        <f t="array" ref="F53" xml:space="preserve"> INDEX(注音編碼對照表[國際音標], MATCH(TRUE, EXACT($C53, 注音編碼對照表[鍵盤按鍵] ),0))</f>
        <v>m̩</v>
      </c>
      <c r="I53" s="398">
        <f t="shared" si="2"/>
        <v>43</v>
      </c>
      <c r="J53" s="399" t="s">
        <v>142</v>
      </c>
      <c r="K53" s="400" t="str" cm="1">
        <f t="array" ref="K53" xml:space="preserve"> INDEX(注音編碼對照表[注音符號], MATCH(TRUE, EXACT($J53, 注音編碼對照表[鍵盤按鍵] ),0))</f>
        <v>ㆬ</v>
      </c>
      <c r="L53" s="265" t="str" cm="1">
        <f t="array" ref="L53" xml:space="preserve"> INDEX(注音編碼對照表[注音編碼], MATCH(TRUE, EXACT($J53, 注音編碼對照表[鍵盤按鍵] ),0))</f>
        <v>M</v>
      </c>
      <c r="M53" s="401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93" t="str" cm="1">
        <f t="array" ref="D54" xml:space="preserve"> INDEX(注音編碼對照表[注音符號],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97" t="str" cm="1">
        <f t="array" ref="F54" xml:space="preserve"> INDEX(注音編碼對照表[國際音標], MATCH(TRUE, EXACT($C54, 注音編碼對照表[鍵盤按鍵] ),0))</f>
        <v>n</v>
      </c>
      <c r="I54" s="402">
        <f t="shared" si="2"/>
        <v>44</v>
      </c>
      <c r="J54" s="191" t="s">
        <v>178</v>
      </c>
      <c r="K54" s="393" t="str" cm="1">
        <f t="array" ref="K54" xml:space="preserve"> INDEX(注音編碼對照表[注音符號],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403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93" t="str" cm="1">
        <f t="array" ref="D55" xml:space="preserve"> INDEX(注音編碼對照表[注音符號],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97" t="str" cm="1">
        <f t="array" ref="F55" xml:space="preserve"> INDEX(注音編碼對照表[國際音標], MATCH(TRUE, EXACT($C55, 注音編碼對照表[鍵盤按鍵] ),0))</f>
        <v>ŋ̍</v>
      </c>
      <c r="I55" s="404">
        <f t="shared" si="2"/>
        <v>45</v>
      </c>
      <c r="J55" s="405" t="s">
        <v>172</v>
      </c>
      <c r="K55" s="406" t="str" cm="1">
        <f t="array" ref="K55" xml:space="preserve"> INDEX(注音編碼對照表[注音符號], MATCH(TRUE, EXACT($J55, 注音編碼對照表[鍵盤按鍵] ),0))</f>
        <v>ㆭ</v>
      </c>
      <c r="L55" s="269" t="str" cm="1">
        <f t="array" ref="L55" xml:space="preserve"> INDEX(注音編碼對照表[注音編碼], MATCH(TRUE, EXACT($J55, 注音編碼對照表[鍵盤按鍵] ),0))</f>
        <v>W</v>
      </c>
      <c r="M55" s="407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93" t="str" cm="1">
        <f t="array" ref="D56" xml:space="preserve"> INDEX(注音編碼對照表[注音符號],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97" t="str" cm="1">
        <f t="array" ref="F56" xml:space="preserve"> INDEX(注音編碼對照表[國際音標], MATCH(TRUE, EXACT($C56, 注音編碼對照表[鍵盤按鍵] ),0))</f>
        <v>ɲ</v>
      </c>
      <c r="I56" s="412">
        <f t="shared" si="2"/>
        <v>46</v>
      </c>
      <c r="J56" s="413" t="s">
        <v>385</v>
      </c>
      <c r="K56" s="414" t="str" cm="1">
        <f t="array" ref="K56" xml:space="preserve"> INDEX(注音編碼對照表[注音符號], MATCH(TRUE, EXACT($J56, 注音編碼對照表[鍵盤按鍵] ),0))</f>
        <v>ㄬ</v>
      </c>
      <c r="L56" s="415" t="str" cm="1">
        <f t="array" ref="L56" xml:space="preserve"> INDEX(注音編碼對照表[注音編碼], MATCH(TRUE, EXACT($J56, 注音編碼對照表[鍵盤按鍵] ),0))</f>
        <v>B</v>
      </c>
      <c r="M56" s="416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93" t="str" cm="1">
        <f t="array" ref="D57" xml:space="preserve"> INDEX(注音編碼對照表[注音符號],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1</v>
      </c>
      <c r="F57" s="397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98">
        <f t="shared" si="2"/>
        <v>47</v>
      </c>
      <c r="J57" s="399" t="s">
        <v>168</v>
      </c>
      <c r="K57" s="400" t="str" cm="1">
        <f t="array" ref="K57" xml:space="preserve"> INDEX(注音編碼對照表[注音符號], MATCH(TRUE, EXACT($J57, 注音編碼對照表[鍵盤按鍵] ),0))</f>
        <v>ˉ</v>
      </c>
      <c r="L57" s="265" t="str" cm="1">
        <f t="array" ref="L57" xml:space="preserve"> INDEX(注音編碼對照表[注音編碼], MATCH(TRUE, EXACT($J57, 注音編碼對照表[鍵盤按鍵] ),0))</f>
        <v>1</v>
      </c>
      <c r="M57" s="401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93" t="str" cm="1">
        <f t="array" ref="D58" xml:space="preserve"> INDEX(注音編碼對照表[注音符號],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2</v>
      </c>
      <c r="F58" s="397" cm="1">
        <f t="array" ref="F58" xml:space="preserve"> INDEX(注音編碼對照表[國際音標], MATCH(TRUE, EXACT($C58, 注音編碼對照表[鍵盤按鍵] ),0))</f>
        <v>0</v>
      </c>
      <c r="I58" s="402">
        <f t="shared" si="2"/>
        <v>48</v>
      </c>
      <c r="J58" s="191" t="s">
        <v>167</v>
      </c>
      <c r="K58" s="393" t="str" cm="1">
        <f t="array" ref="K58" xml:space="preserve"> INDEX(注音編碼對照表[注音符號],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2</v>
      </c>
      <c r="M58" s="403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93" t="str" cm="1">
        <f t="array" ref="D59" xml:space="preserve"> INDEX(注音編碼對照表[注音符號],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3</v>
      </c>
      <c r="F59" s="397" cm="1">
        <f t="array" ref="F59" xml:space="preserve"> INDEX(注音編碼對照表[國際音標], MATCH(TRUE, EXACT($C59, 注音編碼對照表[鍵盤按鍵] ),0))</f>
        <v>0</v>
      </c>
      <c r="I59" s="402">
        <f t="shared" si="2"/>
        <v>49</v>
      </c>
      <c r="J59" s="191" t="s">
        <v>166</v>
      </c>
      <c r="K59" s="393" t="str" cm="1">
        <f t="array" ref="K59" xml:space="preserve"> INDEX(注音編碼對照表[注音符號],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3</v>
      </c>
      <c r="M59" s="403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93" t="str" cm="1">
        <f t="array" ref="D60" xml:space="preserve"> INDEX(注音編碼對照表[注音符號],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5</v>
      </c>
      <c r="F60" s="397" cm="1">
        <f t="array" ref="F60" xml:space="preserve"> INDEX(注音編碼對照表[國際音標], MATCH(TRUE, EXACT($C60, 注音編碼對照表[鍵盤按鍵] ),0))</f>
        <v>0</v>
      </c>
      <c r="I60" s="402">
        <f t="shared" si="2"/>
        <v>50</v>
      </c>
      <c r="J60" s="191" t="s">
        <v>156</v>
      </c>
      <c r="K60" s="393" t="str" cm="1">
        <f t="array" ref="K60" xml:space="preserve"> INDEX(注音編碼對照表[注音符號],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5</v>
      </c>
      <c r="M60" s="403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93" t="str" cm="1">
        <f t="array" ref="D61" xml:space="preserve"> INDEX(注音編碼對照表[注音符號],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7</v>
      </c>
      <c r="F61" s="397" cm="1">
        <f t="array" ref="F61" xml:space="preserve"> INDEX(注音編碼對照表[國際音標], MATCH(TRUE, EXACT($C61, 注音編碼對照表[鍵盤按鍵] ),0))</f>
        <v>0</v>
      </c>
      <c r="I61" s="402">
        <f t="shared" si="2"/>
        <v>51</v>
      </c>
      <c r="J61" s="191" t="s">
        <v>154</v>
      </c>
      <c r="K61" s="393" t="str" cm="1">
        <f t="array" ref="K61" xml:space="preserve"> INDEX(注音編碼對照表[注音符號],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7</v>
      </c>
      <c r="M61" s="403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93" t="str" cm="1">
        <f t="array" ref="D62" xml:space="preserve"> INDEX(注音編碼對照表[注音符號],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0</v>
      </c>
      <c r="F62" s="397" cm="1">
        <f t="array" ref="F62" xml:space="preserve"> INDEX(注音編碼對照表[國際音標], MATCH(TRUE, EXACT($C62, 注音編碼對照表[鍵盤按鍵] ),0))</f>
        <v>0</v>
      </c>
      <c r="I62" s="404">
        <f t="shared" si="2"/>
        <v>52</v>
      </c>
      <c r="J62" s="405" t="s">
        <v>151</v>
      </c>
      <c r="K62" s="406" t="str" cm="1">
        <f t="array" ref="K62" xml:space="preserve"> INDEX(注音編碼對照表[注音符號], MATCH(TRUE, EXACT($J62, 注音編碼對照表[鍵盤按鍵] ),0))</f>
        <v>˙</v>
      </c>
      <c r="L62" s="269" t="str" cm="1">
        <f t="array" ref="L62" xml:space="preserve"> INDEX(注音編碼對照表[注音編碼], MATCH(TRUE, EXACT($J62, 注音編碼對照表[鍵盤按鍵] ),0))</f>
        <v>0</v>
      </c>
      <c r="M62" s="407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2" priority="4" operator="equal">
      <formula>CHAR(32)</formula>
    </cfRule>
  </conditionalFormatting>
  <conditionalFormatting sqref="E11:E62 L11:L62">
    <cfRule type="cellIs" dxfId="1" priority="3" operator="equal">
      <formula>CHAR(32)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topLeftCell="B1" zoomScaleNormal="100" workbookViewId="0">
      <pane ySplit="2" topLeftCell="A21" activePane="bottomLeft" state="frozen"/>
      <selection activeCell="W1" sqref="W1"/>
      <selection pane="bottomLeft" activeCell="BF12" sqref="BF12:DE12"/>
    </sheetView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312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23" customWidth="1"/>
    <col min="38" max="38" width="3.09765625" style="426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5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419" t="s">
        <v>1526</v>
      </c>
      <c r="AD1" s="418"/>
      <c r="AE1" s="100"/>
      <c r="AF1" s="199"/>
      <c r="AG1" s="419" t="s">
        <v>1528</v>
      </c>
      <c r="AH1" s="199"/>
      <c r="AI1" s="419" t="s">
        <v>1527</v>
      </c>
      <c r="AJ1" s="2"/>
      <c r="AK1" s="421"/>
      <c r="AL1" s="424"/>
      <c r="AM1" s="210"/>
      <c r="AN1" s="2"/>
      <c r="BC1" s="11"/>
      <c r="BE1" s="225"/>
      <c r="BH1" s="2"/>
    </row>
    <row r="2" spans="2:109" ht="26.25" thickBot="1">
      <c r="B2" s="240" t="s">
        <v>1530</v>
      </c>
      <c r="I2" s="13" t="s">
        <v>380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403</v>
      </c>
      <c r="U2" s="209" t="s">
        <v>11</v>
      </c>
      <c r="V2" s="209" t="s">
        <v>405</v>
      </c>
      <c r="W2" s="209" t="s">
        <v>1506</v>
      </c>
      <c r="X2" s="209" t="s">
        <v>429</v>
      </c>
      <c r="Y2" s="209"/>
      <c r="Z2" s="333" t="s">
        <v>14</v>
      </c>
      <c r="AA2" s="193" t="s">
        <v>19</v>
      </c>
      <c r="AB2" s="195" t="s">
        <v>380</v>
      </c>
      <c r="AC2" s="194" t="s">
        <v>261</v>
      </c>
      <c r="AD2" s="319" t="s">
        <v>1498</v>
      </c>
      <c r="AE2" s="334" t="s">
        <v>263</v>
      </c>
      <c r="AF2" s="209"/>
      <c r="AG2" s="194" t="s">
        <v>261</v>
      </c>
      <c r="AH2" s="209"/>
      <c r="AI2" s="389" t="s">
        <v>1498</v>
      </c>
      <c r="AJ2" s="2"/>
      <c r="AK2" s="421"/>
      <c r="AL2" s="424"/>
      <c r="AM2" s="210"/>
      <c r="AN2" s="2"/>
      <c r="BC2" s="11"/>
      <c r="BE2" s="225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INDEX(注音編碼對照表[注音符號], MATCH(TRUE, EXACT(RIME設定解析!$AA3, 注音編碼對照表[鍵盤按鍵] ),0))</f>
        <v>ㄅ</v>
      </c>
      <c r="AD3" s="420" t="str" cm="1">
        <f t="array" ref="AD3" xml:space="preserve"> INDEX(注音編碼對照表[台語ㄅㄆㄇ], MATCH(TRUE, EXACT(RIME設定解析!$AA3, 注音編碼對照表[鍵盤按鍵] ),0))</f>
        <v>ㄅ</v>
      </c>
      <c r="AE3" s="268" t="str" cm="1">
        <f t="array" ref="AE3" xml:space="preserve"> INDEX(注音編碼對照表[台語音標], MATCH(TRUE, EXACT(RIME設定解析!$AA3, 注音編碼對照表[鍵盤按鍵] ),0))</f>
        <v>p</v>
      </c>
      <c r="AF3" s="204"/>
      <c r="AG3" s="387" t="str">
        <f xml:space="preserve"> """" &amp; $AA3 &amp; """ : """ &amp; AD3 &amp; ""","</f>
        <v>"1" : "ㄅ",</v>
      </c>
      <c r="AH3" s="204"/>
      <c r="AI3" s="388" t="str">
        <f xml:space="preserve"> """" &amp; $AA3 &amp; """ : { commit: """ &amp; AD3 &amp; """ }"</f>
        <v>"1" : { commit: "ㄅ" }</v>
      </c>
      <c r="AJ3" s="2"/>
      <c r="AK3" s="422" t="str">
        <f t="shared" ref="AK3:AK42" si="8" xml:space="preserve"> IF(LEN(AC3)=LEN(AD3), "", _xlfn.CONCAT( "xform/", AC3, "/", AD3, "/"))</f>
        <v/>
      </c>
      <c r="AL3" s="425"/>
      <c r="AM3" s="444" t="str">
        <f xml:space="preserve"> "  alphabet: '" &amp; _xlfn.CONCAT(AA$3:AA$54) &amp; "'"</f>
        <v xml:space="preserve">  alphabet: '1q!a2wsxyhnbYHNBedEgcuj8ik,9lUJ*I&lt;(L-M0;Oomp/. 43657'</v>
      </c>
      <c r="AN3" s="224"/>
      <c r="AO3" s="224"/>
      <c r="AP3" s="224"/>
      <c r="AQ3" s="224"/>
      <c r="AR3" s="224"/>
      <c r="AS3" s="224"/>
      <c r="AT3" s="224"/>
      <c r="AU3" s="224"/>
      <c r="BC3" s="11"/>
      <c r="BE3" s="225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INDEX(注音編碼對照表[注音符號], MATCH(TRUE, EXACT(RIME設定解析!$AA4, 注音編碼對照表[鍵盤按鍵] ),0))</f>
        <v>ㄆ</v>
      </c>
      <c r="AD4" s="420" t="str" cm="1">
        <f t="array" ref="AD4" xml:space="preserve"> INDEX(注音編碼對照表[台語ㄅㄆㄇ], MATCH(TRUE, EXACT(RIME設定解析!$AA4, 注音編碼對照表[鍵盤按鍵] ),0))</f>
        <v>ㄆ</v>
      </c>
      <c r="AE4" s="268" t="str" cm="1">
        <f t="array" ref="AE4" xml:space="preserve"> INDEX(注音編碼對照表[台語音標], MATCH(TRUE, EXACT(RIME設定解析!$AA4, 注音編碼對照表[鍵盤按鍵] ),0))</f>
        <v>ph</v>
      </c>
      <c r="AF4" s="204"/>
      <c r="AG4" s="387" t="str">
        <f t="shared" ref="AG4:AG54" si="11" xml:space="preserve"> """" &amp; $AA4 &amp; """ : """ &amp; AD4 &amp; ""","</f>
        <v>"q" : "ㄆ",</v>
      </c>
      <c r="AH4" s="204"/>
      <c r="AI4" s="388" t="str">
        <f t="shared" ref="AI4:AI54" si="12" xml:space="preserve"> """" &amp; $AA4 &amp; """ : { commit: """ &amp; AD4 &amp; """ }"</f>
        <v>"q" : { commit: "ㄆ" }</v>
      </c>
      <c r="AJ4" s="2"/>
      <c r="AK4" s="422" t="str">
        <f t="shared" si="8"/>
        <v/>
      </c>
      <c r="AL4" s="425"/>
      <c r="AM4" s="444" t="str">
        <f xml:space="preserve"> "  initials: '" &amp; _xlfn.CONCAT(AA$3:AA$48) &amp; "'"</f>
        <v xml:space="preserve">  initials: '1q!a2wsxyhnbYHNBedEgcuj8ik,9lUJ*I&lt;(L-M0;Oomp/.'</v>
      </c>
      <c r="AN4" s="224"/>
      <c r="AO4" s="224"/>
      <c r="AP4" s="224"/>
      <c r="AQ4" s="224"/>
      <c r="AR4" s="224"/>
      <c r="AS4" s="224"/>
      <c r="AT4" s="224"/>
      <c r="AU4" s="224"/>
      <c r="BC4" s="11"/>
      <c r="BE4" s="225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INDEX(注音編碼對照表[注音符號], MATCH(TRUE, EXACT(RIME設定解析!$AA5, 注音編碼對照表[鍵盤按鍵] ),0))</f>
        <v>ㆠ</v>
      </c>
      <c r="AD5" s="420" t="str" cm="1">
        <f t="array" ref="AD5" xml:space="preserve"> INDEX(注音編碼對照表[台語ㄅㄆㄇ], MATCH(TRUE, EXACT(RIME設定解析!$AA5, 注音編碼對照表[鍵盤按鍵] ),0))</f>
        <v>ㆠ</v>
      </c>
      <c r="AE5" s="268" t="str" cm="1">
        <f t="array" ref="AE5" xml:space="preserve"> INDEX(注音編碼對照表[台語音標], MATCH(TRUE, EXACT(RIME設定解析!$AA5, 注音編碼對照表[鍵盤按鍵] ),0))</f>
        <v>b</v>
      </c>
      <c r="AF5" s="204"/>
      <c r="AG5" s="387" t="str">
        <f t="shared" si="11"/>
        <v>"!" : "ㆠ",</v>
      </c>
      <c r="AH5" s="204"/>
      <c r="AI5" s="388" t="str">
        <f t="shared" si="12"/>
        <v>"!" : { commit: "ㆠ" }</v>
      </c>
      <c r="AJ5" s="2"/>
      <c r="AK5" s="422" t="str">
        <f t="shared" si="8"/>
        <v/>
      </c>
      <c r="AL5" s="425"/>
      <c r="AM5" s="444" t="str">
        <f xml:space="preserve"> "  finals:   '" &amp; _xlfn.CONCAT(AA$49:AA$54) &amp; "'"</f>
        <v xml:space="preserve">  finals:   ' 43657'</v>
      </c>
      <c r="AN5" s="224"/>
      <c r="AO5" s="224"/>
      <c r="AP5" s="224"/>
      <c r="AQ5" s="224"/>
      <c r="AR5" s="224"/>
      <c r="AS5" s="224"/>
      <c r="AT5" s="224"/>
      <c r="AU5" s="224"/>
      <c r="BC5" s="11"/>
      <c r="BE5" s="225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INDEX(注音編碼對照表[注音符號], MATCH(TRUE, EXACT(RIME設定解析!$AA6, 注音編碼對照表[鍵盤按鍵] ),0))</f>
        <v>ㄇ</v>
      </c>
      <c r="AD6" s="420" t="str" cm="1">
        <f t="array" ref="AD6" xml:space="preserve"> INDEX(注音編碼對照表[台語ㄅㄆㄇ], MATCH(TRUE, EXACT(RIME設定解析!$AA6, 注音編碼對照表[鍵盤按鍵] ),0))</f>
        <v>ㄇ</v>
      </c>
      <c r="AE6" s="268" t="str" cm="1">
        <f t="array" ref="AE6" xml:space="preserve"> INDEX(注音編碼對照表[台語音標], MATCH(TRUE, EXACT(RIME設定解析!$AA6, 注音編碼對照表[鍵盤按鍵] ),0))</f>
        <v>m</v>
      </c>
      <c r="AF6" s="204"/>
      <c r="AG6" s="387" t="str">
        <f t="shared" si="11"/>
        <v>"a" : "ㄇ",</v>
      </c>
      <c r="AH6" s="204"/>
      <c r="AI6" s="388" t="str">
        <f t="shared" si="12"/>
        <v>"a" : { commit: "ㄇ" }</v>
      </c>
      <c r="AJ6" s="2"/>
      <c r="AK6" s="422" t="str">
        <f t="shared" si="8"/>
        <v/>
      </c>
      <c r="AL6" s="425"/>
      <c r="AM6" s="210"/>
      <c r="AN6" s="2"/>
      <c r="BC6" s="11"/>
      <c r="BE6" s="225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INDEX(注音編碼對照表[注音符號], MATCH(TRUE, EXACT(RIME設定解析!$AA7, 注音編碼對照表[鍵盤按鍵] ),0))</f>
        <v>ㄉ</v>
      </c>
      <c r="AD7" s="420" t="str" cm="1">
        <f t="array" ref="AD7" xml:space="preserve"> INDEX(注音編碼對照表[台語ㄅㄆㄇ], MATCH(TRUE, EXACT(RIME設定解析!$AA7, 注音編碼對照表[鍵盤按鍵] ),0))</f>
        <v>ㄉ</v>
      </c>
      <c r="AE7" s="268" t="str" cm="1">
        <f t="array" ref="AE7" xml:space="preserve"> INDEX(注音編碼對照表[台語音標], MATCH(TRUE, EXACT(RIME設定解析!$AA7, 注音編碼對照表[鍵盤按鍵] ),0))</f>
        <v>t</v>
      </c>
      <c r="AF7" s="204"/>
      <c r="AG7" s="387" t="str">
        <f t="shared" si="11"/>
        <v>"2" : "ㄉ",</v>
      </c>
      <c r="AH7" s="204"/>
      <c r="AI7" s="388" t="str">
        <f t="shared" si="12"/>
        <v>"2" : { commit: "ㄉ" }</v>
      </c>
      <c r="AJ7" s="2"/>
      <c r="AK7" s="422" t="str">
        <f t="shared" si="8"/>
        <v/>
      </c>
      <c r="AL7" s="425"/>
      <c r="AM7" s="210"/>
      <c r="AN7" s="2"/>
      <c r="BC7" s="11"/>
      <c r="BE7" s="225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INDEX(注音編碼對照表[注音符號], MATCH(TRUE, EXACT(RIME設定解析!$AA8, 注音編碼對照表[鍵盤按鍵] ),0))</f>
        <v>ㄊ</v>
      </c>
      <c r="AD8" s="420" t="str" cm="1">
        <f t="array" ref="AD8" xml:space="preserve"> INDEX(注音編碼對照表[台語ㄅㄆㄇ], MATCH(TRUE, EXACT(RIME設定解析!$AA8, 注音編碼對照表[鍵盤按鍵] ),0))</f>
        <v>ㄊ</v>
      </c>
      <c r="AE8" s="268" t="str" cm="1">
        <f t="array" ref="AE8" xml:space="preserve"> INDEX(注音編碼對照表[台語音標], MATCH(TRUE, EXACT(RIME設定解析!$AA8, 注音編碼對照表[鍵盤按鍵] ),0))</f>
        <v>th</v>
      </c>
      <c r="AF8" s="204"/>
      <c r="AG8" s="387" t="str">
        <f t="shared" si="11"/>
        <v>"w" : "ㄊ",</v>
      </c>
      <c r="AH8" s="204"/>
      <c r="AI8" s="388" t="str">
        <f t="shared" si="12"/>
        <v>"w" : { commit: "ㄊ" }</v>
      </c>
      <c r="AJ8" s="2"/>
      <c r="AK8" s="422" t="str">
        <f t="shared" si="8"/>
        <v/>
      </c>
      <c r="AL8" s="425"/>
      <c r="AM8" s="211" t="s">
        <v>413</v>
      </c>
      <c r="AN8" s="2"/>
      <c r="AO8" s="233" t="str">
        <f xml:space="preserve"> """xlit|" &amp; AO9 &amp; "|" &amp; AO10 &amp; "|"""</f>
        <v>"xlit|pPbmtTnlzcsjZCSJkKgwhiuaOoeyxIUAQEYXRV@GDHMNWB123570|1q!a2wsxyhnbYHNBedEgcuj8ik,9lUJ*I&lt;(L-M0;Oomp/.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6"/>
      <c r="BE8" s="225"/>
      <c r="BF8" s="344" cm="1">
        <f t="array" ref="BF8" xml:space="preserve"> COLUMN() - COLUMN($BE:$BE)</f>
        <v>1</v>
      </c>
      <c r="BG8" s="344" cm="1">
        <f t="array" ref="BG8" xml:space="preserve"> COLUMN() - COLUMN($BE:$BE)</f>
        <v>2</v>
      </c>
      <c r="BH8" s="344" cm="1">
        <f t="array" ref="BH8" xml:space="preserve"> COLUMN() - COLUMN($BE:$BE)</f>
        <v>3</v>
      </c>
      <c r="BI8" s="344" cm="1">
        <f t="array" ref="BI8" xml:space="preserve"> COLUMN() - COLUMN($BE:$BE)</f>
        <v>4</v>
      </c>
      <c r="BJ8" s="344" cm="1">
        <f t="array" ref="BJ8" xml:space="preserve"> COLUMN() - COLUMN($BE:$BE)</f>
        <v>5</v>
      </c>
      <c r="BK8" s="344" cm="1">
        <f t="array" ref="BK8" xml:space="preserve"> COLUMN() - COLUMN($BE:$BE)</f>
        <v>6</v>
      </c>
      <c r="BL8" s="344" cm="1">
        <f t="array" ref="BL8" xml:space="preserve"> COLUMN() - COLUMN($BE:$BE)</f>
        <v>7</v>
      </c>
      <c r="BM8" s="344" cm="1">
        <f t="array" ref="BM8" xml:space="preserve"> COLUMN() - COLUMN($BE:$BE)</f>
        <v>8</v>
      </c>
      <c r="BN8" s="344" cm="1">
        <f t="array" ref="BN8" xml:space="preserve"> COLUMN() - COLUMN($BE:$BE)</f>
        <v>9</v>
      </c>
      <c r="BO8" s="344" cm="1">
        <f t="array" ref="BO8" xml:space="preserve"> COLUMN() - COLUMN($BE:$BE)</f>
        <v>10</v>
      </c>
      <c r="BP8" s="344" cm="1">
        <f t="array" ref="BP8" xml:space="preserve"> COLUMN() - COLUMN($BE:$BE)</f>
        <v>11</v>
      </c>
      <c r="BQ8" s="344" cm="1">
        <f t="array" ref="BQ8" xml:space="preserve"> COLUMN() - COLUMN($BE:$BE)</f>
        <v>12</v>
      </c>
      <c r="BR8" s="344" cm="1">
        <f t="array" ref="BR8" xml:space="preserve"> COLUMN() - COLUMN($BE:$BE)</f>
        <v>13</v>
      </c>
      <c r="BS8" s="344" cm="1">
        <f t="array" ref="BS8" xml:space="preserve"> COLUMN() - COLUMN($BE:$BE)</f>
        <v>14</v>
      </c>
      <c r="BT8" s="344" cm="1">
        <f t="array" ref="BT8" xml:space="preserve"> COLUMN() - COLUMN($BE:$BE)</f>
        <v>15</v>
      </c>
      <c r="BU8" s="344" cm="1">
        <f t="array" ref="BU8" xml:space="preserve"> COLUMN() - COLUMN($BE:$BE)</f>
        <v>16</v>
      </c>
      <c r="BV8" s="344" cm="1">
        <f t="array" ref="BV8" xml:space="preserve"> COLUMN() - COLUMN($BE:$BE)</f>
        <v>17</v>
      </c>
      <c r="BW8" s="344" cm="1">
        <f t="array" ref="BW8" xml:space="preserve"> COLUMN() - COLUMN($BE:$BE)</f>
        <v>18</v>
      </c>
      <c r="BX8" s="344" cm="1">
        <f t="array" ref="BX8" xml:space="preserve"> COLUMN() - COLUMN($BE:$BE)</f>
        <v>19</v>
      </c>
      <c r="BY8" s="344" cm="1">
        <f t="array" ref="BY8" xml:space="preserve"> COLUMN() - COLUMN($BE:$BE)</f>
        <v>20</v>
      </c>
      <c r="BZ8" s="344" cm="1">
        <f t="array" ref="BZ8" xml:space="preserve"> COLUMN() - COLUMN($BE:$BE)</f>
        <v>21</v>
      </c>
      <c r="CA8" s="344" cm="1">
        <f t="array" ref="CA8" xml:space="preserve"> COLUMN() - COLUMN($BE:$BE)</f>
        <v>22</v>
      </c>
      <c r="CB8" s="344" cm="1">
        <f t="array" ref="CB8" xml:space="preserve"> COLUMN() - COLUMN($BE:$BE)</f>
        <v>23</v>
      </c>
      <c r="CC8" s="344" cm="1">
        <f t="array" ref="CC8" xml:space="preserve"> COLUMN() - COLUMN($BE:$BE)</f>
        <v>24</v>
      </c>
      <c r="CD8" s="344" cm="1">
        <f t="array" ref="CD8" xml:space="preserve"> COLUMN() - COLUMN($BE:$BE)</f>
        <v>25</v>
      </c>
      <c r="CE8" s="344" cm="1">
        <f t="array" ref="CE8" xml:space="preserve"> COLUMN() - COLUMN($BE:$BE)</f>
        <v>26</v>
      </c>
      <c r="CF8" s="344" cm="1">
        <f t="array" ref="CF8" xml:space="preserve"> COLUMN() - COLUMN($BE:$BE)</f>
        <v>27</v>
      </c>
      <c r="CG8" s="344" cm="1">
        <f t="array" ref="CG8" xml:space="preserve"> COLUMN() - COLUMN($BE:$BE)</f>
        <v>28</v>
      </c>
      <c r="CH8" s="344" cm="1">
        <f t="array" ref="CH8" xml:space="preserve"> COLUMN() - COLUMN($BE:$BE)</f>
        <v>29</v>
      </c>
      <c r="CI8" s="344" cm="1">
        <f t="array" ref="CI8" xml:space="preserve"> COLUMN() - COLUMN($BE:$BE)</f>
        <v>30</v>
      </c>
      <c r="CJ8" s="344" cm="1">
        <f t="array" ref="CJ8" xml:space="preserve"> COLUMN() - COLUMN($BE:$BE)</f>
        <v>31</v>
      </c>
      <c r="CK8" s="344" cm="1">
        <f t="array" ref="CK8" xml:space="preserve"> COLUMN() - COLUMN($BE:$BE)</f>
        <v>32</v>
      </c>
      <c r="CL8" s="344" cm="1">
        <f t="array" ref="CL8" xml:space="preserve"> COLUMN() - COLUMN($BE:$BE)</f>
        <v>33</v>
      </c>
      <c r="CM8" s="344" cm="1">
        <f t="array" ref="CM8" xml:space="preserve"> COLUMN() - COLUMN($BE:$BE)</f>
        <v>34</v>
      </c>
      <c r="CN8" s="344" cm="1">
        <f t="array" ref="CN8" xml:space="preserve"> COLUMN() - COLUMN($BE:$BE)</f>
        <v>35</v>
      </c>
      <c r="CO8" s="344" cm="1">
        <f t="array" ref="CO8" xml:space="preserve"> COLUMN() - COLUMN($BE:$BE)</f>
        <v>36</v>
      </c>
      <c r="CP8" s="344" cm="1">
        <f t="array" ref="CP8" xml:space="preserve"> COLUMN() - COLUMN($BE:$BE)</f>
        <v>37</v>
      </c>
      <c r="CQ8" s="344" cm="1">
        <f t="array" ref="CQ8" xml:space="preserve"> COLUMN() - COLUMN($BE:$BE)</f>
        <v>38</v>
      </c>
      <c r="CR8" s="344" cm="1">
        <f t="array" ref="CR8" xml:space="preserve"> COLUMN() - COLUMN($BE:$BE)</f>
        <v>39</v>
      </c>
      <c r="CS8" s="344" cm="1">
        <f t="array" ref="CS8" xml:space="preserve"> COLUMN() - COLUMN($BE:$BE)</f>
        <v>40</v>
      </c>
      <c r="CT8" s="344" cm="1">
        <f t="array" ref="CT8" xml:space="preserve"> COLUMN() - COLUMN($BE:$BE)</f>
        <v>41</v>
      </c>
      <c r="CU8" s="344" cm="1">
        <f t="array" ref="CU8" xml:space="preserve"> COLUMN() - COLUMN($BE:$BE)</f>
        <v>42</v>
      </c>
      <c r="CV8" s="344" cm="1">
        <f t="array" ref="CV8" xml:space="preserve"> COLUMN() - COLUMN($BE:$BE)</f>
        <v>43</v>
      </c>
      <c r="CW8" s="344" cm="1">
        <f t="array" ref="CW8" xml:space="preserve"> COLUMN() - COLUMN($BE:$BE)</f>
        <v>44</v>
      </c>
      <c r="CX8" s="344" cm="1">
        <f t="array" ref="CX8" xml:space="preserve"> COLUMN() - COLUMN($BE:$BE)</f>
        <v>45</v>
      </c>
      <c r="CY8" s="344" cm="1">
        <f t="array" ref="CY8" xml:space="preserve"> COLUMN() - COLUMN($BE:$BE)</f>
        <v>46</v>
      </c>
      <c r="CZ8" s="344" cm="1">
        <f t="array" ref="CZ8" xml:space="preserve"> COLUMN() - COLUMN($BE:$BE)</f>
        <v>47</v>
      </c>
      <c r="DA8" s="344" cm="1">
        <f t="array" ref="DA8" xml:space="preserve"> COLUMN() - COLUMN($BE:$BE)</f>
        <v>48</v>
      </c>
      <c r="DB8" s="344" cm="1">
        <f t="array" ref="DB8" xml:space="preserve"> COLUMN() - COLUMN($BE:$BE)</f>
        <v>49</v>
      </c>
      <c r="DC8" s="344" cm="1">
        <f t="array" ref="DC8" xml:space="preserve"> COLUMN() - COLUMN($BE:$BE)</f>
        <v>50</v>
      </c>
      <c r="DD8" s="344" cm="1">
        <f t="array" ref="DD8" xml:space="preserve"> COLUMN() - COLUMN($BE:$BE)</f>
        <v>51</v>
      </c>
      <c r="DE8" s="344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INDEX(注音編碼對照表[注音符號], MATCH(TRUE, EXACT(RIME設定解析!$AA9, 注音編碼對照表[鍵盤按鍵] ),0))</f>
        <v>ㄋ</v>
      </c>
      <c r="AD9" s="420" t="str" cm="1">
        <f t="array" ref="AD9" xml:space="preserve"> INDEX(注音編碼對照表[台語ㄅㄆㄇ], MATCH(TRUE, EXACT(RIME設定解析!$AA9, 注音編碼對照表[鍵盤按鍵] ),0))</f>
        <v>ㄋ</v>
      </c>
      <c r="AE9" s="268" t="str" cm="1">
        <f t="array" ref="AE9" xml:space="preserve"> INDEX(注音編碼對照表[台語音標], MATCH(TRUE, EXACT(RIME設定解析!$AA9, 注音編碼對照表[鍵盤按鍵] ),0))</f>
        <v>n</v>
      </c>
      <c r="AF9" s="204"/>
      <c r="AG9" s="387" t="str">
        <f t="shared" si="11"/>
        <v>"s" : "ㄋ",</v>
      </c>
      <c r="AH9" s="204"/>
      <c r="AI9" s="388" t="str">
        <f t="shared" si="12"/>
        <v>"s" : { commit: "ㄋ" }</v>
      </c>
      <c r="AJ9" s="2"/>
      <c r="AK9" s="422" t="str">
        <f t="shared" si="8"/>
        <v/>
      </c>
      <c r="AL9" s="425"/>
      <c r="AM9" s="212" t="s">
        <v>405</v>
      </c>
      <c r="AN9" s="1">
        <f xml:space="preserve"> LEN(AO9)</f>
        <v>52</v>
      </c>
      <c r="AO9" s="335" t="str">
        <f xml:space="preserve"> _xlfn.CONCAT(AB$3:AB$54)</f>
        <v>pPbmtTnlzcsjZCSJkKgwhiuaOoeyxIUAQEYXRV@GDHMNWB123570</v>
      </c>
      <c r="AP9" s="336"/>
      <c r="AQ9" s="336"/>
      <c r="AR9" s="336"/>
      <c r="AS9" s="336"/>
      <c r="AT9" s="336"/>
      <c r="AU9" s="336"/>
      <c r="AV9" s="336"/>
      <c r="AW9" s="336"/>
      <c r="AX9" s="336"/>
      <c r="AY9" s="336"/>
      <c r="AZ9" s="336"/>
      <c r="BA9" s="336"/>
      <c r="BB9" s="38" t="s">
        <v>25</v>
      </c>
      <c r="BC9" s="237" t="s">
        <v>185</v>
      </c>
      <c r="BD9" s="40">
        <f xml:space="preserve"> FIND(BC9, AO9)</f>
        <v>31</v>
      </c>
      <c r="BE9" s="225"/>
      <c r="BF9" s="345" t="str">
        <f xml:space="preserve"> MID($AO$9, BF$8, 1)</f>
        <v>p</v>
      </c>
      <c r="BG9" s="345" t="str">
        <f t="shared" ref="BG9:DE9" si="13" xml:space="preserve"> MID($AO$9, BG$8, 1)</f>
        <v>P</v>
      </c>
      <c r="BH9" s="345" t="str">
        <f t="shared" si="13"/>
        <v>b</v>
      </c>
      <c r="BI9" s="345" t="str">
        <f t="shared" si="13"/>
        <v>m</v>
      </c>
      <c r="BJ9" s="345" t="str">
        <f t="shared" si="13"/>
        <v>t</v>
      </c>
      <c r="BK9" s="345" t="str">
        <f t="shared" si="13"/>
        <v>T</v>
      </c>
      <c r="BL9" s="345" t="str">
        <f t="shared" si="13"/>
        <v>n</v>
      </c>
      <c r="BM9" s="345" t="str">
        <f t="shared" si="13"/>
        <v>l</v>
      </c>
      <c r="BN9" s="345" t="str">
        <f t="shared" si="13"/>
        <v>z</v>
      </c>
      <c r="BO9" s="345" t="str">
        <f t="shared" si="13"/>
        <v>c</v>
      </c>
      <c r="BP9" s="345" t="str">
        <f t="shared" si="13"/>
        <v>s</v>
      </c>
      <c r="BQ9" s="345" t="str">
        <f t="shared" si="13"/>
        <v>j</v>
      </c>
      <c r="BR9" s="345" t="str">
        <f t="shared" si="13"/>
        <v>Z</v>
      </c>
      <c r="BS9" s="345" t="str">
        <f t="shared" si="13"/>
        <v>C</v>
      </c>
      <c r="BT9" s="345" t="str">
        <f t="shared" si="13"/>
        <v>S</v>
      </c>
      <c r="BU9" s="345" t="str">
        <f t="shared" si="13"/>
        <v>J</v>
      </c>
      <c r="BV9" s="345" t="str">
        <f t="shared" si="13"/>
        <v>k</v>
      </c>
      <c r="BW9" s="345" t="str">
        <f t="shared" si="13"/>
        <v>K</v>
      </c>
      <c r="BX9" s="345" t="str">
        <f t="shared" si="13"/>
        <v>g</v>
      </c>
      <c r="BY9" s="345" t="str">
        <f t="shared" si="13"/>
        <v>w</v>
      </c>
      <c r="BZ9" s="345" t="str">
        <f t="shared" si="13"/>
        <v>h</v>
      </c>
      <c r="CA9" s="345" t="str">
        <f t="shared" si="13"/>
        <v>i</v>
      </c>
      <c r="CB9" s="345" t="str">
        <f t="shared" si="13"/>
        <v>u</v>
      </c>
      <c r="CC9" s="345" t="str">
        <f t="shared" si="13"/>
        <v>a</v>
      </c>
      <c r="CD9" s="345" t="str">
        <f t="shared" si="13"/>
        <v>O</v>
      </c>
      <c r="CE9" s="345" t="str">
        <f t="shared" si="13"/>
        <v>o</v>
      </c>
      <c r="CF9" s="345" t="str">
        <f t="shared" si="13"/>
        <v>e</v>
      </c>
      <c r="CG9" s="345" t="str">
        <f t="shared" si="13"/>
        <v>y</v>
      </c>
      <c r="CH9" s="345" t="str">
        <f t="shared" si="13"/>
        <v>x</v>
      </c>
      <c r="CI9" s="346" t="str">
        <f t="shared" si="13"/>
        <v>I</v>
      </c>
      <c r="CJ9" s="345" t="str">
        <f t="shared" si="13"/>
        <v>U</v>
      </c>
      <c r="CK9" s="345" t="str">
        <f t="shared" si="13"/>
        <v>A</v>
      </c>
      <c r="CL9" s="345" t="str">
        <f t="shared" si="13"/>
        <v>Q</v>
      </c>
      <c r="CM9" s="345" t="str">
        <f t="shared" si="13"/>
        <v>E</v>
      </c>
      <c r="CN9" s="345" t="str">
        <f t="shared" si="13"/>
        <v>Y</v>
      </c>
      <c r="CO9" s="345" t="str">
        <f t="shared" si="13"/>
        <v>X</v>
      </c>
      <c r="CP9" s="345" t="str">
        <f t="shared" si="13"/>
        <v>R</v>
      </c>
      <c r="CQ9" s="345" t="str">
        <f t="shared" si="13"/>
        <v>V</v>
      </c>
      <c r="CR9" s="345" t="str">
        <f t="shared" si="13"/>
        <v>@</v>
      </c>
      <c r="CS9" s="345" t="str">
        <f t="shared" si="13"/>
        <v>G</v>
      </c>
      <c r="CT9" s="346" t="str">
        <f t="shared" si="13"/>
        <v>D</v>
      </c>
      <c r="CU9" s="345" t="str">
        <f t="shared" si="13"/>
        <v>H</v>
      </c>
      <c r="CV9" s="345" t="str">
        <f t="shared" si="13"/>
        <v>M</v>
      </c>
      <c r="CW9" s="345" t="str">
        <f t="shared" si="13"/>
        <v>N</v>
      </c>
      <c r="CX9" s="345" t="str">
        <f t="shared" si="13"/>
        <v>W</v>
      </c>
      <c r="CY9" s="345" t="str">
        <f t="shared" si="13"/>
        <v>B</v>
      </c>
      <c r="CZ9" s="345" t="str">
        <f t="shared" si="13"/>
        <v>1</v>
      </c>
      <c r="DA9" s="345" t="str">
        <f t="shared" si="13"/>
        <v>2</v>
      </c>
      <c r="DB9" s="345" t="str">
        <f t="shared" si="13"/>
        <v>3</v>
      </c>
      <c r="DC9" s="345" t="str">
        <f t="shared" si="13"/>
        <v>5</v>
      </c>
      <c r="DD9" s="345" t="str">
        <f t="shared" si="13"/>
        <v>7</v>
      </c>
      <c r="DE9" s="345" t="str">
        <f t="shared" si="13"/>
        <v>0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INDEX(注音編碼對照表[注音符號], MATCH(TRUE, EXACT(RIME設定解析!$AA10, 注音編碼對照表[鍵盤按鍵] ),0))</f>
        <v>ㄌ</v>
      </c>
      <c r="AD10" s="420" t="str" cm="1">
        <f t="array" ref="AD10" xml:space="preserve"> INDEX(注音編碼對照表[台語ㄅㄆㄇ], MATCH(TRUE, EXACT(RIME設定解析!$AA10, 注音編碼對照表[鍵盤按鍵] ),0))</f>
        <v>ㄌ</v>
      </c>
      <c r="AE10" s="268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87" t="str">
        <f t="shared" si="11"/>
        <v>"x" : "ㄌ",</v>
      </c>
      <c r="AH10" s="204"/>
      <c r="AI10" s="388" t="str">
        <f t="shared" si="12"/>
        <v>"x" : { commit: "ㄌ" }</v>
      </c>
      <c r="AJ10" s="2"/>
      <c r="AK10" s="422" t="str">
        <f t="shared" si="8"/>
        <v/>
      </c>
      <c r="AL10" s="425"/>
      <c r="AM10" s="213" t="s">
        <v>11</v>
      </c>
      <c r="AN10" s="1">
        <f xml:space="preserve"> LEN(AO10)</f>
        <v>52</v>
      </c>
      <c r="AO10" s="335" t="str">
        <f>_xlfn.CONCAT(AA3:AA54)</f>
        <v>1q!a2wsxyhnbYHNBedEgcuj8ik,9lUJ*I&lt;(L-M0;Oomp/. 43657</v>
      </c>
      <c r="AP10" s="336"/>
      <c r="AQ10" s="336"/>
      <c r="AR10" s="336"/>
      <c r="AS10" s="336"/>
      <c r="AT10" s="336"/>
      <c r="AU10" s="336"/>
      <c r="AV10" s="336"/>
      <c r="AW10" s="336"/>
      <c r="AX10" s="337" t="str">
        <f xml:space="preserve"> MID("/", AN9, 1)</f>
        <v/>
      </c>
      <c r="AY10" s="336"/>
      <c r="AZ10" s="336"/>
      <c r="BA10" s="336"/>
      <c r="BC10" s="49" t="str">
        <f xml:space="preserve"> MID(AO10, BD9, 1)</f>
        <v>J</v>
      </c>
      <c r="BD10" s="40"/>
      <c r="BE10" s="225"/>
      <c r="BF10" s="345" t="str">
        <f xml:space="preserve"> MID($AO$10, BF$8, 1)</f>
        <v>1</v>
      </c>
      <c r="BG10" s="345" t="str">
        <f t="shared" ref="BG10:DE10" si="14" xml:space="preserve"> MID($AO$10, BG$8, 1)</f>
        <v>q</v>
      </c>
      <c r="BH10" s="345" t="str">
        <f t="shared" si="14"/>
        <v>!</v>
      </c>
      <c r="BI10" s="345" t="str">
        <f t="shared" si="14"/>
        <v>a</v>
      </c>
      <c r="BJ10" s="345" t="str">
        <f t="shared" si="14"/>
        <v>2</v>
      </c>
      <c r="BK10" s="345" t="str">
        <f t="shared" si="14"/>
        <v>w</v>
      </c>
      <c r="BL10" s="345" t="str">
        <f t="shared" si="14"/>
        <v>s</v>
      </c>
      <c r="BM10" s="345" t="str">
        <f t="shared" si="14"/>
        <v>x</v>
      </c>
      <c r="BN10" s="345" t="str">
        <f t="shared" si="14"/>
        <v>y</v>
      </c>
      <c r="BO10" s="345" t="str">
        <f t="shared" si="14"/>
        <v>h</v>
      </c>
      <c r="BP10" s="345" t="str">
        <f t="shared" si="14"/>
        <v>n</v>
      </c>
      <c r="BQ10" s="345" t="str">
        <f t="shared" si="14"/>
        <v>b</v>
      </c>
      <c r="BR10" s="345" t="str">
        <f t="shared" si="14"/>
        <v>Y</v>
      </c>
      <c r="BS10" s="345" t="str">
        <f t="shared" si="14"/>
        <v>H</v>
      </c>
      <c r="BT10" s="345" t="str">
        <f t="shared" si="14"/>
        <v>N</v>
      </c>
      <c r="BU10" s="345" t="str">
        <f t="shared" si="14"/>
        <v>B</v>
      </c>
      <c r="BV10" s="345" t="str">
        <f t="shared" si="14"/>
        <v>e</v>
      </c>
      <c r="BW10" s="345" t="str">
        <f t="shared" si="14"/>
        <v>d</v>
      </c>
      <c r="BX10" s="345" t="str">
        <f t="shared" si="14"/>
        <v>E</v>
      </c>
      <c r="BY10" s="345" t="str">
        <f t="shared" si="14"/>
        <v>g</v>
      </c>
      <c r="BZ10" s="345" t="str">
        <f t="shared" si="14"/>
        <v>c</v>
      </c>
      <c r="CA10" s="345" t="str">
        <f t="shared" si="14"/>
        <v>u</v>
      </c>
      <c r="CB10" s="345" t="str">
        <f t="shared" si="14"/>
        <v>j</v>
      </c>
      <c r="CC10" s="345" t="str">
        <f t="shared" si="14"/>
        <v>8</v>
      </c>
      <c r="CD10" s="345" t="str">
        <f t="shared" si="14"/>
        <v>i</v>
      </c>
      <c r="CE10" s="345" t="str">
        <f t="shared" si="14"/>
        <v>k</v>
      </c>
      <c r="CF10" s="345" t="str">
        <f t="shared" si="14"/>
        <v>,</v>
      </c>
      <c r="CG10" s="345" t="str">
        <f t="shared" si="14"/>
        <v>9</v>
      </c>
      <c r="CH10" s="345" t="str">
        <f t="shared" si="14"/>
        <v>l</v>
      </c>
      <c r="CI10" s="346" t="str">
        <f t="shared" si="14"/>
        <v>U</v>
      </c>
      <c r="CJ10" s="345" t="str">
        <f t="shared" si="14"/>
        <v>J</v>
      </c>
      <c r="CK10" s="345" t="str">
        <f t="shared" si="14"/>
        <v>*</v>
      </c>
      <c r="CL10" s="345" t="str">
        <f t="shared" si="14"/>
        <v>I</v>
      </c>
      <c r="CM10" s="345" t="str">
        <f t="shared" si="14"/>
        <v>&lt;</v>
      </c>
      <c r="CN10" s="345" t="str">
        <f t="shared" si="14"/>
        <v>(</v>
      </c>
      <c r="CO10" s="345" t="str">
        <f t="shared" si="14"/>
        <v>L</v>
      </c>
      <c r="CP10" s="345" t="str">
        <f t="shared" si="14"/>
        <v>-</v>
      </c>
      <c r="CQ10" s="345" t="str">
        <f t="shared" si="14"/>
        <v>M</v>
      </c>
      <c r="CR10" s="345" t="str">
        <f t="shared" si="14"/>
        <v>0</v>
      </c>
      <c r="CS10" s="345" t="str">
        <f t="shared" si="14"/>
        <v>;</v>
      </c>
      <c r="CT10" s="346" t="str">
        <f t="shared" si="14"/>
        <v>O</v>
      </c>
      <c r="CU10" s="345" t="str">
        <f t="shared" si="14"/>
        <v>o</v>
      </c>
      <c r="CV10" s="345" t="str">
        <f t="shared" si="14"/>
        <v>m</v>
      </c>
      <c r="CW10" s="345" t="str">
        <f t="shared" si="14"/>
        <v>p</v>
      </c>
      <c r="CX10" s="345" t="str">
        <f t="shared" si="14"/>
        <v>/</v>
      </c>
      <c r="CY10" s="345" t="str">
        <f t="shared" si="14"/>
        <v>.</v>
      </c>
      <c r="CZ10" s="345" t="str">
        <f t="shared" si="14"/>
        <v xml:space="preserve"> </v>
      </c>
      <c r="DA10" s="345" t="str">
        <f t="shared" si="14"/>
        <v>4</v>
      </c>
      <c r="DB10" s="345" t="str">
        <f t="shared" si="14"/>
        <v>3</v>
      </c>
      <c r="DC10" s="345" t="str">
        <f t="shared" si="14"/>
        <v>6</v>
      </c>
      <c r="DD10" s="345" t="str">
        <f t="shared" si="14"/>
        <v>5</v>
      </c>
      <c r="DE10" s="345" t="str">
        <f t="shared" si="14"/>
        <v>7</v>
      </c>
    </row>
    <row r="11" spans="2:109" ht="32.25">
      <c r="B11" s="200" t="s">
        <v>1531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INDEX(注音編碼對照表[注音符號], MATCH(TRUE, EXACT(RIME設定解析!$AA11, 注音編碼對照表[鍵盤按鍵] ),0))</f>
        <v>ㄗ</v>
      </c>
      <c r="AD11" s="420" t="str" cm="1">
        <f t="array" ref="AD11" xml:space="preserve"> INDEX(注音編碼對照表[台語ㄅㄆㄇ], MATCH(TRUE, EXACT(RIME設定解析!$AA11, 注音編碼對照表[鍵盤按鍵] ),0))</f>
        <v>ㄗ</v>
      </c>
      <c r="AE11" s="268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87" t="str">
        <f t="shared" si="11"/>
        <v>"y" : "ㄗ",</v>
      </c>
      <c r="AH11" s="204"/>
      <c r="AI11" s="388" t="str">
        <f t="shared" si="12"/>
        <v>"y" : { commit: "ㄗ" }</v>
      </c>
      <c r="AJ11" s="2"/>
      <c r="AK11" s="422" t="str">
        <f t="shared" si="8"/>
        <v/>
      </c>
      <c r="AL11" s="425"/>
      <c r="AM11" s="214"/>
      <c r="AN11" s="37"/>
      <c r="AO11" s="37"/>
      <c r="AX11" s="48"/>
      <c r="BC11" s="11"/>
      <c r="BE11" s="225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INDEX(注音編碼對照表[注音符號], MATCH(TRUE, EXACT(RIME設定解析!$AA12, 注音編碼對照表[鍵盤按鍵] ),0))</f>
        <v>ㄘ</v>
      </c>
      <c r="AD12" s="420" t="str" cm="1">
        <f t="array" ref="AD12" xml:space="preserve"> INDEX(注音編碼對照表[台語ㄅㄆㄇ], MATCH(TRUE, EXACT(RIME設定解析!$AA12, 注音編碼對照表[鍵盤按鍵] ),0))</f>
        <v>ㄘ</v>
      </c>
      <c r="AE12" s="268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87" t="str">
        <f t="shared" si="11"/>
        <v>"h" : "ㄘ",</v>
      </c>
      <c r="AH12" s="204"/>
      <c r="AI12" s="388" t="str">
        <f t="shared" si="12"/>
        <v>"h" : { commit: "ㄘ" }</v>
      </c>
      <c r="AJ12" s="2"/>
      <c r="AK12" s="422" t="str">
        <f t="shared" si="8"/>
        <v/>
      </c>
      <c r="AL12" s="425"/>
      <c r="AM12" s="210"/>
      <c r="AN12" s="2"/>
      <c r="AO12" s="48"/>
      <c r="BC12" s="11"/>
      <c r="BE12" s="225"/>
      <c r="BF12" s="225" t="str">
        <f xml:space="preserve"> IF(BF10=BF14, "", "Err")</f>
        <v/>
      </c>
      <c r="BG12" s="225" t="str">
        <f t="shared" ref="BG12:DE12" si="15" xml:space="preserve"> IF(BG10=BG14, "", "Err")</f>
        <v/>
      </c>
      <c r="BH12" s="225" t="str">
        <f t="shared" si="15"/>
        <v/>
      </c>
      <c r="BI12" s="225" t="str">
        <f t="shared" si="15"/>
        <v/>
      </c>
      <c r="BJ12" s="225" t="str">
        <f t="shared" si="15"/>
        <v/>
      </c>
      <c r="BK12" s="225" t="str">
        <f t="shared" si="15"/>
        <v/>
      </c>
      <c r="BL12" s="225" t="str">
        <f t="shared" si="15"/>
        <v/>
      </c>
      <c r="BM12" s="225" t="str">
        <f t="shared" si="15"/>
        <v/>
      </c>
      <c r="BN12" s="225" t="str">
        <f t="shared" si="15"/>
        <v/>
      </c>
      <c r="BO12" s="225" t="str">
        <f t="shared" si="15"/>
        <v/>
      </c>
      <c r="BP12" s="225" t="str">
        <f t="shared" si="15"/>
        <v/>
      </c>
      <c r="BQ12" s="225" t="str">
        <f t="shared" si="15"/>
        <v/>
      </c>
      <c r="BR12" s="225" t="str">
        <f t="shared" si="15"/>
        <v/>
      </c>
      <c r="BS12" s="225" t="str">
        <f t="shared" si="15"/>
        <v/>
      </c>
      <c r="BT12" s="225" t="str">
        <f t="shared" si="15"/>
        <v/>
      </c>
      <c r="BU12" s="225" t="str">
        <f t="shared" si="15"/>
        <v/>
      </c>
      <c r="BV12" s="225" t="str">
        <f t="shared" si="15"/>
        <v/>
      </c>
      <c r="BW12" s="225" t="str">
        <f t="shared" si="15"/>
        <v/>
      </c>
      <c r="BX12" s="225" t="str">
        <f t="shared" si="15"/>
        <v/>
      </c>
      <c r="BY12" s="225" t="str">
        <f t="shared" si="15"/>
        <v/>
      </c>
      <c r="BZ12" s="225" t="str">
        <f t="shared" si="15"/>
        <v/>
      </c>
      <c r="CA12" s="225" t="str">
        <f t="shared" si="15"/>
        <v/>
      </c>
      <c r="CB12" s="225" t="str">
        <f t="shared" si="15"/>
        <v/>
      </c>
      <c r="CC12" s="225" t="str">
        <f t="shared" si="15"/>
        <v/>
      </c>
      <c r="CD12" s="225" t="str">
        <f t="shared" si="15"/>
        <v/>
      </c>
      <c r="CE12" s="225" t="str">
        <f t="shared" si="15"/>
        <v/>
      </c>
      <c r="CF12" s="225" t="str">
        <f t="shared" si="15"/>
        <v/>
      </c>
      <c r="CG12" s="225" t="str">
        <f t="shared" si="15"/>
        <v/>
      </c>
      <c r="CH12" s="225" t="str">
        <f t="shared" si="15"/>
        <v/>
      </c>
      <c r="CI12" s="225" t="str">
        <f t="shared" si="15"/>
        <v/>
      </c>
      <c r="CJ12" s="225" t="str">
        <f t="shared" si="15"/>
        <v/>
      </c>
      <c r="CK12" s="225" t="str">
        <f t="shared" si="15"/>
        <v/>
      </c>
      <c r="CL12" s="225" t="str">
        <f t="shared" si="15"/>
        <v/>
      </c>
      <c r="CM12" s="225" t="str">
        <f t="shared" si="15"/>
        <v/>
      </c>
      <c r="CN12" s="225" t="str">
        <f t="shared" si="15"/>
        <v/>
      </c>
      <c r="CO12" s="225" t="str">
        <f t="shared" si="15"/>
        <v/>
      </c>
      <c r="CP12" s="225" t="str">
        <f t="shared" si="15"/>
        <v/>
      </c>
      <c r="CQ12" s="225" t="str">
        <f t="shared" si="15"/>
        <v/>
      </c>
      <c r="CR12" s="225" t="str">
        <f t="shared" si="15"/>
        <v/>
      </c>
      <c r="CS12" s="225" t="str">
        <f t="shared" si="15"/>
        <v/>
      </c>
      <c r="CT12" s="225" t="str">
        <f t="shared" si="15"/>
        <v/>
      </c>
      <c r="CU12" s="225" t="str">
        <f t="shared" si="15"/>
        <v/>
      </c>
      <c r="CV12" s="225" t="str">
        <f t="shared" si="15"/>
        <v/>
      </c>
      <c r="CW12" s="225" t="str">
        <f t="shared" si="15"/>
        <v/>
      </c>
      <c r="CX12" s="225" t="str">
        <f t="shared" si="15"/>
        <v/>
      </c>
      <c r="CY12" s="225" t="str">
        <f t="shared" si="15"/>
        <v/>
      </c>
      <c r="CZ12" s="225" t="str">
        <f t="shared" si="15"/>
        <v>Err</v>
      </c>
      <c r="DA12" s="225" t="str">
        <f t="shared" si="15"/>
        <v>Err</v>
      </c>
      <c r="DB12" s="225" t="str">
        <f t="shared" si="15"/>
        <v>Err</v>
      </c>
      <c r="DC12" s="225" t="str">
        <f t="shared" si="15"/>
        <v>Err</v>
      </c>
      <c r="DD12" s="225" t="str">
        <f t="shared" si="15"/>
        <v>Err</v>
      </c>
      <c r="DE12" s="225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INDEX(注音編碼對照表[注音符號], MATCH(TRUE, EXACT(RIME設定解析!$AA13, 注音編碼對照表[鍵盤按鍵] ),0))</f>
        <v>ㄙ</v>
      </c>
      <c r="AD13" s="420" t="str" cm="1">
        <f t="array" ref="AD13" xml:space="preserve"> INDEX(注音編碼對照表[台語ㄅㄆㄇ], MATCH(TRUE, EXACT(RIME設定解析!$AA13, 注音編碼對照表[鍵盤按鍵] ),0))</f>
        <v>ㄙ</v>
      </c>
      <c r="AE13" s="268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87" t="str">
        <f t="shared" si="11"/>
        <v>"n" : "ㄙ",</v>
      </c>
      <c r="AH13" s="204"/>
      <c r="AI13" s="388" t="str">
        <f t="shared" si="12"/>
        <v>"n" : { commit: "ㄙ" }</v>
      </c>
      <c r="AJ13" s="2"/>
      <c r="AK13" s="422" t="str">
        <f t="shared" si="8"/>
        <v/>
      </c>
      <c r="AL13" s="425"/>
      <c r="AM13" s="211" t="s">
        <v>35</v>
      </c>
      <c r="AN13" s="2"/>
      <c r="AO13" s="234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6"/>
      <c r="BE13" s="225"/>
      <c r="BF13" s="344" cm="1">
        <f t="array" ref="BF13" xml:space="preserve"> COLUMN() - COLUMN($BE:$BE)</f>
        <v>1</v>
      </c>
      <c r="BG13" s="344" cm="1">
        <f t="array" ref="BG13" xml:space="preserve"> COLUMN() - COLUMN($BE:$BE)</f>
        <v>2</v>
      </c>
      <c r="BH13" s="344" cm="1">
        <f t="array" ref="BH13" xml:space="preserve"> COLUMN() - COLUMN($BE:$BE)</f>
        <v>3</v>
      </c>
      <c r="BI13" s="344" cm="1">
        <f t="array" ref="BI13" xml:space="preserve"> COLUMN() - COLUMN($BE:$BE)</f>
        <v>4</v>
      </c>
      <c r="BJ13" s="344" cm="1">
        <f t="array" ref="BJ13" xml:space="preserve"> COLUMN() - COLUMN($BE:$BE)</f>
        <v>5</v>
      </c>
      <c r="BK13" s="344" cm="1">
        <f t="array" ref="BK13" xml:space="preserve"> COLUMN() - COLUMN($BE:$BE)</f>
        <v>6</v>
      </c>
      <c r="BL13" s="344" cm="1">
        <f t="array" ref="BL13" xml:space="preserve"> COLUMN() - COLUMN($BE:$BE)</f>
        <v>7</v>
      </c>
      <c r="BM13" s="344" cm="1">
        <f t="array" ref="BM13" xml:space="preserve"> COLUMN() - COLUMN($BE:$BE)</f>
        <v>8</v>
      </c>
      <c r="BN13" s="344" cm="1">
        <f t="array" ref="BN13" xml:space="preserve"> COLUMN() - COLUMN($BE:$BE)</f>
        <v>9</v>
      </c>
      <c r="BO13" s="344" cm="1">
        <f t="array" ref="BO13" xml:space="preserve"> COLUMN() - COLUMN($BE:$BE)</f>
        <v>10</v>
      </c>
      <c r="BP13" s="344" cm="1">
        <f t="array" ref="BP13" xml:space="preserve"> COLUMN() - COLUMN($BE:$BE)</f>
        <v>11</v>
      </c>
      <c r="BQ13" s="344" cm="1">
        <f t="array" ref="BQ13" xml:space="preserve"> COLUMN() - COLUMN($BE:$BE)</f>
        <v>12</v>
      </c>
      <c r="BR13" s="344" cm="1">
        <f t="array" ref="BR13" xml:space="preserve"> COLUMN() - COLUMN($BE:$BE)</f>
        <v>13</v>
      </c>
      <c r="BS13" s="344" cm="1">
        <f t="array" ref="BS13" xml:space="preserve"> COLUMN() - COLUMN($BE:$BE)</f>
        <v>14</v>
      </c>
      <c r="BT13" s="344" cm="1">
        <f t="array" ref="BT13" xml:space="preserve"> COLUMN() - COLUMN($BE:$BE)</f>
        <v>15</v>
      </c>
      <c r="BU13" s="344" cm="1">
        <f t="array" ref="BU13" xml:space="preserve"> COLUMN() - COLUMN($BE:$BE)</f>
        <v>16</v>
      </c>
      <c r="BV13" s="344" cm="1">
        <f t="array" ref="BV13" xml:space="preserve"> COLUMN() - COLUMN($BE:$BE)</f>
        <v>17</v>
      </c>
      <c r="BW13" s="344" cm="1">
        <f t="array" ref="BW13" xml:space="preserve"> COLUMN() - COLUMN($BE:$BE)</f>
        <v>18</v>
      </c>
      <c r="BX13" s="344" cm="1">
        <f t="array" ref="BX13" xml:space="preserve"> COLUMN() - COLUMN($BE:$BE)</f>
        <v>19</v>
      </c>
      <c r="BY13" s="344" cm="1">
        <f t="array" ref="BY13" xml:space="preserve"> COLUMN() - COLUMN($BE:$BE)</f>
        <v>20</v>
      </c>
      <c r="BZ13" s="344" cm="1">
        <f t="array" ref="BZ13" xml:space="preserve"> COLUMN() - COLUMN($BE:$BE)</f>
        <v>21</v>
      </c>
      <c r="CA13" s="344" cm="1">
        <f t="array" ref="CA13" xml:space="preserve"> COLUMN() - COLUMN($BE:$BE)</f>
        <v>22</v>
      </c>
      <c r="CB13" s="344" cm="1">
        <f t="array" ref="CB13" xml:space="preserve"> COLUMN() - COLUMN($BE:$BE)</f>
        <v>23</v>
      </c>
      <c r="CC13" s="344" cm="1">
        <f t="array" ref="CC13" xml:space="preserve"> COLUMN() - COLUMN($BE:$BE)</f>
        <v>24</v>
      </c>
      <c r="CD13" s="344" cm="1">
        <f t="array" ref="CD13" xml:space="preserve"> COLUMN() - COLUMN($BE:$BE)</f>
        <v>25</v>
      </c>
      <c r="CE13" s="344" cm="1">
        <f t="array" ref="CE13" xml:space="preserve"> COLUMN() - COLUMN($BE:$BE)</f>
        <v>26</v>
      </c>
      <c r="CF13" s="344" cm="1">
        <f t="array" ref="CF13" xml:space="preserve"> COLUMN() - COLUMN($BE:$BE)</f>
        <v>27</v>
      </c>
      <c r="CG13" s="344" cm="1">
        <f t="array" ref="CG13" xml:space="preserve"> COLUMN() - COLUMN($BE:$BE)</f>
        <v>28</v>
      </c>
      <c r="CH13" s="344" cm="1">
        <f t="array" ref="CH13" xml:space="preserve"> COLUMN() - COLUMN($BE:$BE)</f>
        <v>29</v>
      </c>
      <c r="CI13" s="344" cm="1">
        <f t="array" ref="CI13" xml:space="preserve"> COLUMN() - COLUMN($BE:$BE)</f>
        <v>30</v>
      </c>
      <c r="CJ13" s="344" cm="1">
        <f t="array" ref="CJ13" xml:space="preserve"> COLUMN() - COLUMN($BE:$BE)</f>
        <v>31</v>
      </c>
      <c r="CK13" s="344" cm="1">
        <f t="array" ref="CK13" xml:space="preserve"> COLUMN() - COLUMN($BE:$BE)</f>
        <v>32</v>
      </c>
      <c r="CL13" s="344" cm="1">
        <f t="array" ref="CL13" xml:space="preserve"> COLUMN() - COLUMN($BE:$BE)</f>
        <v>33</v>
      </c>
      <c r="CM13" s="344" cm="1">
        <f t="array" ref="CM13" xml:space="preserve"> COLUMN() - COLUMN($BE:$BE)</f>
        <v>34</v>
      </c>
      <c r="CN13" s="344" cm="1">
        <f t="array" ref="CN13" xml:space="preserve"> COLUMN() - COLUMN($BE:$BE)</f>
        <v>35</v>
      </c>
      <c r="CO13" s="344" cm="1">
        <f t="array" ref="CO13" xml:space="preserve"> COLUMN() - COLUMN($BE:$BE)</f>
        <v>36</v>
      </c>
      <c r="CP13" s="344" cm="1">
        <f t="array" ref="CP13" xml:space="preserve"> COLUMN() - COLUMN($BE:$BE)</f>
        <v>37</v>
      </c>
      <c r="CQ13" s="344" cm="1">
        <f t="array" ref="CQ13" xml:space="preserve"> COLUMN() - COLUMN($BE:$BE)</f>
        <v>38</v>
      </c>
      <c r="CR13" s="344" cm="1">
        <f t="array" ref="CR13" xml:space="preserve"> COLUMN() - COLUMN($BE:$BE)</f>
        <v>39</v>
      </c>
      <c r="CS13" s="344" cm="1">
        <f t="array" ref="CS13" xml:space="preserve"> COLUMN() - COLUMN($BE:$BE)</f>
        <v>40</v>
      </c>
      <c r="CT13" s="344" cm="1">
        <f t="array" ref="CT13" xml:space="preserve"> COLUMN() - COLUMN($BE:$BE)</f>
        <v>41</v>
      </c>
      <c r="CU13" s="344" cm="1">
        <f t="array" ref="CU13" xml:space="preserve"> COLUMN() - COLUMN($BE:$BE)</f>
        <v>42</v>
      </c>
      <c r="CV13" s="344" cm="1">
        <f t="array" ref="CV13" xml:space="preserve"> COLUMN() - COLUMN($BE:$BE)</f>
        <v>43</v>
      </c>
      <c r="CW13" s="344" cm="1">
        <f t="array" ref="CW13" xml:space="preserve"> COLUMN() - COLUMN($BE:$BE)</f>
        <v>44</v>
      </c>
      <c r="CX13" s="344" cm="1">
        <f t="array" ref="CX13" xml:space="preserve"> COLUMN() - COLUMN($BE:$BE)</f>
        <v>45</v>
      </c>
      <c r="CY13" s="344" cm="1">
        <f t="array" ref="CY13" xml:space="preserve"> COLUMN() - COLUMN($BE:$BE)</f>
        <v>46</v>
      </c>
      <c r="CZ13" s="344" cm="1">
        <f t="array" ref="CZ13" xml:space="preserve"> COLUMN() - COLUMN($BE:$BE)</f>
        <v>47</v>
      </c>
      <c r="DA13" s="344" cm="1">
        <f t="array" ref="DA13" xml:space="preserve"> COLUMN() - COLUMN($BE:$BE)</f>
        <v>48</v>
      </c>
      <c r="DB13" s="344" cm="1">
        <f t="array" ref="DB13" xml:space="preserve"> COLUMN() - COLUMN($BE:$BE)</f>
        <v>49</v>
      </c>
      <c r="DC13" s="344" cm="1">
        <f t="array" ref="DC13" xml:space="preserve"> COLUMN() - COLUMN($BE:$BE)</f>
        <v>50</v>
      </c>
      <c r="DD13" s="344" cm="1">
        <f t="array" ref="DD13" xml:space="preserve"> COLUMN() - COLUMN($BE:$BE)</f>
        <v>51</v>
      </c>
      <c r="DE13" s="344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INDEX(注音編碼對照表[注音符號], MATCH(TRUE, EXACT(RIME設定解析!$AA14, 注音編碼對照表[鍵盤按鍵] ),0))</f>
        <v>ㆡ</v>
      </c>
      <c r="AD14" s="420" t="str" cm="1">
        <f t="array" ref="AD14" xml:space="preserve"> INDEX(注音編碼對照表[台語ㄅㄆㄇ], MATCH(TRUE, EXACT(RIME設定解析!$AA14, 注音編碼對照表[鍵盤按鍵] ),0))</f>
        <v>ㆡ</v>
      </c>
      <c r="AE14" s="268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87" t="str">
        <f t="shared" si="11"/>
        <v>"b" : "ㆡ",</v>
      </c>
      <c r="AH14" s="204"/>
      <c r="AI14" s="388" t="str">
        <f t="shared" si="12"/>
        <v>"b" : { commit: "ㆡ" }</v>
      </c>
      <c r="AJ14" s="2"/>
      <c r="AK14" s="422" t="str">
        <f t="shared" si="8"/>
        <v/>
      </c>
      <c r="AL14" s="425"/>
      <c r="AM14" s="213" t="s">
        <v>11</v>
      </c>
      <c r="AN14" s="1">
        <f xml:space="preserve"> LEN(AO14)</f>
        <v>46</v>
      </c>
      <c r="AO14" s="335" t="str">
        <f xml:space="preserve"> _xlfn.CONCAT($AA3:$AA$48)</f>
        <v>1q!a2wsxyhnbYHNBedEgcuj8ik,9lUJ*I&lt;(L-M0;Oomp/.</v>
      </c>
      <c r="BB14" s="38" t="s">
        <v>25</v>
      </c>
      <c r="BC14" s="238" t="str">
        <f>BC10</f>
        <v>J</v>
      </c>
      <c r="BD14" s="40">
        <f xml:space="preserve"> FIND(BC14, AO14)</f>
        <v>31</v>
      </c>
      <c r="BE14" s="225"/>
      <c r="BF14" s="340" t="str">
        <f t="shared" ref="BF14:CJ14" si="16" xml:space="preserve"> MID($AO$14, BF$13, 1)</f>
        <v>1</v>
      </c>
      <c r="BG14" s="339" t="str">
        <f t="shared" si="16"/>
        <v>q</v>
      </c>
      <c r="BH14" s="340" t="str">
        <f t="shared" si="16"/>
        <v>!</v>
      </c>
      <c r="BI14" s="340" t="str">
        <f t="shared" si="16"/>
        <v>a</v>
      </c>
      <c r="BJ14" s="340" t="str">
        <f t="shared" si="16"/>
        <v>2</v>
      </c>
      <c r="BK14" s="340" t="str">
        <f t="shared" si="16"/>
        <v>w</v>
      </c>
      <c r="BL14" s="340" t="str">
        <f t="shared" si="16"/>
        <v>s</v>
      </c>
      <c r="BM14" s="340" t="str">
        <f t="shared" si="16"/>
        <v>x</v>
      </c>
      <c r="BN14" s="340" t="str">
        <f t="shared" si="16"/>
        <v>y</v>
      </c>
      <c r="BO14" s="340" t="str">
        <f t="shared" si="16"/>
        <v>h</v>
      </c>
      <c r="BP14" s="340" t="str">
        <f t="shared" si="16"/>
        <v>n</v>
      </c>
      <c r="BQ14" s="340" t="str">
        <f t="shared" si="16"/>
        <v>b</v>
      </c>
      <c r="BR14" s="340" t="str">
        <f t="shared" si="16"/>
        <v>Y</v>
      </c>
      <c r="BS14" s="340" t="str">
        <f t="shared" si="16"/>
        <v>H</v>
      </c>
      <c r="BT14" s="340" t="str">
        <f t="shared" si="16"/>
        <v>N</v>
      </c>
      <c r="BU14" s="340" t="str">
        <f t="shared" si="16"/>
        <v>B</v>
      </c>
      <c r="BV14" s="340" t="str">
        <f t="shared" si="16"/>
        <v>e</v>
      </c>
      <c r="BW14" s="340" t="str">
        <f t="shared" si="16"/>
        <v>d</v>
      </c>
      <c r="BX14" s="340" t="str">
        <f t="shared" si="16"/>
        <v>E</v>
      </c>
      <c r="BY14" s="340" t="str">
        <f t="shared" si="16"/>
        <v>g</v>
      </c>
      <c r="BZ14" s="340" t="str">
        <f t="shared" si="16"/>
        <v>c</v>
      </c>
      <c r="CA14" s="340" t="str">
        <f t="shared" si="16"/>
        <v>u</v>
      </c>
      <c r="CB14" s="340" t="str">
        <f t="shared" si="16"/>
        <v>j</v>
      </c>
      <c r="CC14" s="340" t="str">
        <f t="shared" si="16"/>
        <v>8</v>
      </c>
      <c r="CD14" s="340" t="str">
        <f t="shared" si="16"/>
        <v>i</v>
      </c>
      <c r="CE14" s="340" t="str">
        <f t="shared" si="16"/>
        <v>k</v>
      </c>
      <c r="CF14" s="340" t="str">
        <f t="shared" si="16"/>
        <v>,</v>
      </c>
      <c r="CG14" s="340" t="str">
        <f t="shared" si="16"/>
        <v>9</v>
      </c>
      <c r="CH14" s="343" t="str">
        <f t="shared" si="16"/>
        <v>l</v>
      </c>
      <c r="CI14" s="342" t="str">
        <f t="shared" si="16"/>
        <v>U</v>
      </c>
      <c r="CJ14" s="340" t="str">
        <f t="shared" si="16"/>
        <v>J</v>
      </c>
      <c r="CK14" s="340" t="str">
        <f t="shared" ref="CK14:DE14" si="17" xml:space="preserve"> MID($AO$14, CK$13, 1)</f>
        <v>*</v>
      </c>
      <c r="CL14" s="340" t="str">
        <f t="shared" si="17"/>
        <v>I</v>
      </c>
      <c r="CM14" s="340" t="str">
        <f t="shared" si="17"/>
        <v>&lt;</v>
      </c>
      <c r="CN14" s="340" t="str">
        <f t="shared" si="17"/>
        <v>(</v>
      </c>
      <c r="CO14" s="340" t="str">
        <f t="shared" si="17"/>
        <v>L</v>
      </c>
      <c r="CP14" s="340" t="str">
        <f t="shared" si="17"/>
        <v>-</v>
      </c>
      <c r="CQ14" s="340" t="str">
        <f t="shared" si="17"/>
        <v>M</v>
      </c>
      <c r="CR14" s="340" t="str">
        <f t="shared" si="17"/>
        <v>0</v>
      </c>
      <c r="CS14" s="341" t="str">
        <f t="shared" si="17"/>
        <v>;</v>
      </c>
      <c r="CT14" s="341" t="str">
        <f t="shared" si="17"/>
        <v>O</v>
      </c>
      <c r="CU14" s="341" t="str">
        <f t="shared" si="17"/>
        <v>o</v>
      </c>
      <c r="CV14" s="341" t="str">
        <f t="shared" si="17"/>
        <v>m</v>
      </c>
      <c r="CW14" s="341" t="str">
        <f t="shared" si="17"/>
        <v>p</v>
      </c>
      <c r="CX14" s="341" t="str">
        <f t="shared" si="17"/>
        <v>/</v>
      </c>
      <c r="CY14" s="340" t="str">
        <f t="shared" si="17"/>
        <v>.</v>
      </c>
      <c r="CZ14" s="340" t="str">
        <f t="shared" si="17"/>
        <v/>
      </c>
      <c r="DA14" s="340" t="str">
        <f t="shared" si="17"/>
        <v/>
      </c>
      <c r="DB14" s="340" t="str">
        <f t="shared" si="17"/>
        <v/>
      </c>
      <c r="DC14" s="340" t="str">
        <f t="shared" si="17"/>
        <v/>
      </c>
      <c r="DD14" s="340" t="str">
        <f t="shared" si="17"/>
        <v/>
      </c>
      <c r="DE14" s="340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INDEX(注音編碼對照表[注音符號], MATCH(TRUE, EXACT(RIME設定解析!$AA15, 注音編碼對照表[鍵盤按鍵] ),0))</f>
        <v>ㄐ</v>
      </c>
      <c r="AD15" s="420" t="str" cm="1">
        <f t="array" ref="AD15" xml:space="preserve"> INDEX(注音編碼對照表[台語ㄅㄆㄇ], MATCH(TRUE, EXACT(RIME設定解析!$AA15, 注音編碼對照表[鍵盤按鍵] ),0))</f>
        <v>ㄐ</v>
      </c>
      <c r="AE15" s="268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87" t="str">
        <f t="shared" si="11"/>
        <v>"Y" : "ㄐ",</v>
      </c>
      <c r="AH15" s="204"/>
      <c r="AI15" s="388" t="str">
        <f t="shared" si="12"/>
        <v>"Y" : { commit: "ㄐ" }</v>
      </c>
      <c r="AJ15" s="2"/>
      <c r="AK15" s="422" t="str">
        <f t="shared" si="8"/>
        <v/>
      </c>
      <c r="AL15" s="425"/>
      <c r="AM15" s="215" t="s">
        <v>13</v>
      </c>
      <c r="AN15" s="1">
        <f xml:space="preserve"> LEN(AO15)</f>
        <v>46</v>
      </c>
      <c r="AO15" s="338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5"/>
      <c r="BF15" s="340" t="str">
        <f t="shared" ref="BF15:CJ15" si="18" xml:space="preserve"> MID($AO$15, BF$13, 1)</f>
        <v>ㄅ</v>
      </c>
      <c r="BG15" s="340" t="str">
        <f t="shared" si="18"/>
        <v>ㄆ</v>
      </c>
      <c r="BH15" s="340" t="str">
        <f t="shared" si="18"/>
        <v>ㆠ</v>
      </c>
      <c r="BI15" s="340" t="str">
        <f t="shared" si="18"/>
        <v>ㄇ</v>
      </c>
      <c r="BJ15" s="340" t="str">
        <f t="shared" si="18"/>
        <v>ㄉ</v>
      </c>
      <c r="BK15" s="340" t="str">
        <f t="shared" si="18"/>
        <v>ㄊ</v>
      </c>
      <c r="BL15" s="340" t="str">
        <f t="shared" si="18"/>
        <v>ㄋ</v>
      </c>
      <c r="BM15" s="340" t="str">
        <f t="shared" si="18"/>
        <v>ㄌ</v>
      </c>
      <c r="BN15" s="340" t="str">
        <f t="shared" si="18"/>
        <v>ㄗ</v>
      </c>
      <c r="BO15" s="340" t="str">
        <f t="shared" si="18"/>
        <v>ㄘ</v>
      </c>
      <c r="BP15" s="340" t="str">
        <f t="shared" si="18"/>
        <v>ㄙ</v>
      </c>
      <c r="BQ15" s="340" t="str">
        <f t="shared" si="18"/>
        <v>ㆡ</v>
      </c>
      <c r="BR15" s="340" t="str">
        <f t="shared" si="18"/>
        <v>ㄐ</v>
      </c>
      <c r="BS15" s="340" t="str">
        <f t="shared" si="18"/>
        <v>ㄑ</v>
      </c>
      <c r="BT15" s="340" t="str">
        <f t="shared" si="18"/>
        <v>ㄒ</v>
      </c>
      <c r="BU15" s="340" t="str">
        <f t="shared" si="18"/>
        <v>ㆢ</v>
      </c>
      <c r="BV15" s="340" t="str">
        <f t="shared" si="18"/>
        <v>ㄍ</v>
      </c>
      <c r="BW15" s="340" t="str">
        <f t="shared" si="18"/>
        <v>ㄎ</v>
      </c>
      <c r="BX15" s="340" t="str">
        <f t="shared" si="18"/>
        <v>ㆣ</v>
      </c>
      <c r="BY15" s="340" t="str">
        <f t="shared" si="18"/>
        <v>ㄫ</v>
      </c>
      <c r="BZ15" s="340" t="str">
        <f t="shared" si="18"/>
        <v>ㄏ</v>
      </c>
      <c r="CA15" s="340" t="str">
        <f t="shared" si="18"/>
        <v>ㄧ</v>
      </c>
      <c r="CB15" s="340" t="str">
        <f t="shared" si="18"/>
        <v>ㄨ</v>
      </c>
      <c r="CC15" s="340" t="str">
        <f t="shared" si="18"/>
        <v>ㄚ</v>
      </c>
      <c r="CD15" s="340" t="str">
        <f t="shared" si="18"/>
        <v>ㆦ</v>
      </c>
      <c r="CE15" s="340" t="str">
        <f t="shared" si="18"/>
        <v>ㄜ</v>
      </c>
      <c r="CF15" s="340" t="str">
        <f t="shared" si="18"/>
        <v>ㆤ</v>
      </c>
      <c r="CG15" s="340" t="str">
        <f t="shared" si="18"/>
        <v>ㄞ</v>
      </c>
      <c r="CH15" s="343" t="str">
        <f t="shared" si="18"/>
        <v>ㄠ</v>
      </c>
      <c r="CI15" s="342" t="str">
        <f t="shared" si="18"/>
        <v>ㆪ</v>
      </c>
      <c r="CJ15" s="340" t="str">
        <f t="shared" si="18"/>
        <v>ㆫ</v>
      </c>
      <c r="CK15" s="340" t="str">
        <f t="shared" ref="CK15:DE15" si="19" xml:space="preserve"> MID($AO$15, CK$13, 1)</f>
        <v>ㆩ</v>
      </c>
      <c r="CL15" s="340" t="str">
        <f t="shared" si="19"/>
        <v>ㆧ</v>
      </c>
      <c r="CM15" s="340" t="str">
        <f t="shared" si="19"/>
        <v>ㆥ</v>
      </c>
      <c r="CN15" s="340" t="str">
        <f t="shared" si="19"/>
        <v>ㆮ</v>
      </c>
      <c r="CO15" s="340" t="str">
        <f t="shared" si="19"/>
        <v>ㆯ</v>
      </c>
      <c r="CP15" s="340" t="str">
        <f t="shared" si="19"/>
        <v>ㆨ</v>
      </c>
      <c r="CQ15" s="340" t="str">
        <f t="shared" si="19"/>
        <v>ㆰ</v>
      </c>
      <c r="CR15" s="340" t="str">
        <f t="shared" si="19"/>
        <v>ㄢ</v>
      </c>
      <c r="CS15" s="341" t="str">
        <f t="shared" si="19"/>
        <v>ㄤ</v>
      </c>
      <c r="CT15" s="341" t="str">
        <f t="shared" si="19"/>
        <v>ㆱ</v>
      </c>
      <c r="CU15" s="341" t="str">
        <f t="shared" si="19"/>
        <v>ㆲ</v>
      </c>
      <c r="CV15" s="341" t="str">
        <f t="shared" si="19"/>
        <v>ㆬ</v>
      </c>
      <c r="CW15" s="341" t="str">
        <f t="shared" si="19"/>
        <v>ㄣ</v>
      </c>
      <c r="CX15" s="341" t="str">
        <f t="shared" si="19"/>
        <v>ㆭ</v>
      </c>
      <c r="CY15" s="340" t="str">
        <f t="shared" si="19"/>
        <v>ㄬ</v>
      </c>
      <c r="CZ15" s="340" t="str">
        <f t="shared" si="19"/>
        <v/>
      </c>
      <c r="DA15" s="340" t="str">
        <f t="shared" si="19"/>
        <v/>
      </c>
      <c r="DB15" s="340" t="str">
        <f t="shared" si="19"/>
        <v/>
      </c>
      <c r="DC15" s="340" t="str">
        <f t="shared" si="19"/>
        <v/>
      </c>
      <c r="DD15" s="340" t="str">
        <f t="shared" si="19"/>
        <v/>
      </c>
      <c r="DE15" s="340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INDEX(注音編碼對照表[注音符號], MATCH(TRUE, EXACT(RIME設定解析!$AA16, 注音編碼對照表[鍵盤按鍵] ),0))</f>
        <v>ㄑ</v>
      </c>
      <c r="AD16" s="420" t="str" cm="1">
        <f t="array" ref="AD16" xml:space="preserve"> INDEX(注音編碼對照表[台語ㄅㄆㄇ], MATCH(TRUE, EXACT(RIME設定解析!$AA16, 注音編碼對照表[鍵盤按鍵] ),0))</f>
        <v>ㄑ</v>
      </c>
      <c r="AE16" s="268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87" t="str">
        <f t="shared" si="11"/>
        <v>"H" : "ㄑ",</v>
      </c>
      <c r="AH16" s="204"/>
      <c r="AI16" s="388" t="str">
        <f t="shared" si="12"/>
        <v>"H" : { commit: "ㄑ" }</v>
      </c>
      <c r="AJ16" s="2"/>
      <c r="AK16" s="422" t="str">
        <f t="shared" si="8"/>
        <v/>
      </c>
      <c r="AL16" s="425"/>
      <c r="AM16" s="210"/>
      <c r="AN16" s="2"/>
      <c r="AP16" s="54"/>
      <c r="BC16" s="11"/>
      <c r="BE16" s="225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INDEX(注音編碼對照表[注音符號], MATCH(TRUE, EXACT(RIME設定解析!$AA17, 注音編碼對照表[鍵盤按鍵] ),0))</f>
        <v>ㄒ</v>
      </c>
      <c r="AD17" s="420" t="str" cm="1">
        <f t="array" ref="AD17" xml:space="preserve"> INDEX(注音編碼對照表[台語ㄅㄆㄇ], MATCH(TRUE, EXACT(RIME設定解析!$AA17, 注音編碼對照表[鍵盤按鍵] ),0))</f>
        <v>ㄒ</v>
      </c>
      <c r="AE17" s="268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87" t="str">
        <f t="shared" si="11"/>
        <v>"N" : "ㄒ",</v>
      </c>
      <c r="AH17" s="204"/>
      <c r="AI17" s="388" t="str">
        <f t="shared" si="12"/>
        <v>"N" : { commit: "ㄒ" }</v>
      </c>
      <c r="AJ17" s="2"/>
      <c r="AK17" s="422" t="str">
        <f t="shared" si="8"/>
        <v/>
      </c>
      <c r="AL17" s="425"/>
      <c r="BE17" s="225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INDEX(注音編碼對照表[注音符號], MATCH(TRUE, EXACT(RIME設定解析!$AA18, 注音編碼對照表[鍵盤按鍵] ),0))</f>
        <v>ㆢ</v>
      </c>
      <c r="AD18" s="420" t="str" cm="1">
        <f t="array" ref="AD18" xml:space="preserve"> INDEX(注音編碼對照表[台語ㄅㄆㄇ], MATCH(TRUE, EXACT(RIME設定解析!$AA18, 注音編碼對照表[鍵盤按鍵] ),0))</f>
        <v>ㆢ</v>
      </c>
      <c r="AE18" s="268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87" t="str">
        <f t="shared" si="11"/>
        <v>"B" : "ㆢ",</v>
      </c>
      <c r="AH18" s="204"/>
      <c r="AI18" s="388" t="str">
        <f t="shared" si="12"/>
        <v>"B" : { commit: "ㆢ" }</v>
      </c>
      <c r="AJ18" s="2"/>
      <c r="AK18" s="422" t="str">
        <f t="shared" si="8"/>
        <v/>
      </c>
      <c r="AL18" s="425"/>
      <c r="BE18" s="225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INDEX(注音編碼對照表[注音符號], MATCH(TRUE, EXACT(RIME設定解析!$AA19, 注音編碼對照表[鍵盤按鍵] ),0))</f>
        <v>ㄍ</v>
      </c>
      <c r="AD19" s="420" t="str" cm="1">
        <f t="array" ref="AD19" xml:space="preserve"> INDEX(注音編碼對照表[台語ㄅㄆㄇ], MATCH(TRUE, EXACT(RIME設定解析!$AA19, 注音編碼對照表[鍵盤按鍵] ),0))</f>
        <v>ㄍ</v>
      </c>
      <c r="AE19" s="268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87" t="str">
        <f t="shared" si="11"/>
        <v>"e" : "ㄍ",</v>
      </c>
      <c r="AH19" s="204"/>
      <c r="AI19" s="388" t="str">
        <f t="shared" si="12"/>
        <v>"e" : { commit: "ㄍ" }</v>
      </c>
      <c r="AJ19" s="2"/>
      <c r="AK19" s="422" t="str">
        <f t="shared" si="8"/>
        <v/>
      </c>
      <c r="AL19" s="425"/>
      <c r="BE19" s="225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INDEX(注音編碼對照表[注音符號], MATCH(TRUE, EXACT(RIME設定解析!$AA20, 注音編碼對照表[鍵盤按鍵] ),0))</f>
        <v>ㄎ</v>
      </c>
      <c r="AD20" s="420" t="str" cm="1">
        <f t="array" ref="AD20" xml:space="preserve"> INDEX(注音編碼對照表[台語ㄅㄆㄇ], MATCH(TRUE, EXACT(RIME設定解析!$AA20, 注音編碼對照表[鍵盤按鍵] ),0))</f>
        <v>ㄎ</v>
      </c>
      <c r="AE20" s="268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87" t="str">
        <f t="shared" si="11"/>
        <v>"d" : "ㄎ",</v>
      </c>
      <c r="AH20" s="204"/>
      <c r="AI20" s="388" t="str">
        <f t="shared" si="12"/>
        <v>"d" : { commit: "ㄎ" }</v>
      </c>
      <c r="AJ20" s="2"/>
      <c r="AK20" s="422" t="str">
        <f t="shared" si="8"/>
        <v/>
      </c>
      <c r="AL20" s="425"/>
      <c r="BC20" s="11"/>
      <c r="BE20" s="225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INDEX(注音編碼對照表[注音符號], MATCH(TRUE, EXACT(RIME設定解析!$AA21, 注音編碼對照表[鍵盤按鍵] ),0))</f>
        <v>ㆣ</v>
      </c>
      <c r="AD21" s="420" t="str" cm="1">
        <f t="array" ref="AD21" xml:space="preserve"> INDEX(注音編碼對照表[台語ㄅㄆㄇ], MATCH(TRUE, EXACT(RIME設定解析!$AA21, 注音編碼對照表[鍵盤按鍵] ),0))</f>
        <v>ㆣ</v>
      </c>
      <c r="AE21" s="268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87" t="str">
        <f t="shared" si="11"/>
        <v>"E" : "ㆣ",</v>
      </c>
      <c r="AH21" s="204"/>
      <c r="AI21" s="388" t="str">
        <f t="shared" si="12"/>
        <v>"E" : { commit: "ㆣ" }</v>
      </c>
      <c r="AJ21" s="2"/>
      <c r="AK21" s="422" t="str">
        <f t="shared" si="8"/>
        <v/>
      </c>
      <c r="AL21" s="425"/>
      <c r="BC21" s="11"/>
      <c r="BE21" s="225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INDEX(注音編碼對照表[注音符號], MATCH(TRUE, EXACT(RIME設定解析!$AA22, 注音編碼對照表[鍵盤按鍵] ),0))</f>
        <v>ㄫ</v>
      </c>
      <c r="AD22" s="420" t="str" cm="1">
        <f t="array" ref="AD22" xml:space="preserve"> INDEX(注音編碼對照表[台語ㄅㄆㄇ], MATCH(TRUE, EXACT(RIME設定解析!$AA22, 注音編碼對照表[鍵盤按鍵] ),0))</f>
        <v>ㄥ</v>
      </c>
      <c r="AE22" s="268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87" t="str">
        <f t="shared" si="11"/>
        <v>"g" : "ㄥ",</v>
      </c>
      <c r="AH22" s="204"/>
      <c r="AI22" s="388" t="str">
        <f t="shared" si="12"/>
        <v>"g" : { commit: "ㄥ" }</v>
      </c>
      <c r="AJ22" s="2"/>
      <c r="AK22" s="422" t="str">
        <f t="shared" si="8"/>
        <v/>
      </c>
      <c r="AL22" s="425"/>
      <c r="BC22" s="11"/>
      <c r="BE22" s="225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INDEX(注音編碼對照表[注音符號], MATCH(TRUE, EXACT(RIME設定解析!$AA23, 注音編碼對照表[鍵盤按鍵] ),0))</f>
        <v>ㄏ</v>
      </c>
      <c r="AD23" s="420" t="str" cm="1">
        <f t="array" ref="AD23" xml:space="preserve"> INDEX(注音編碼對照表[台語ㄅㄆㄇ], MATCH(TRUE, EXACT(RIME設定解析!$AA23, 注音編碼對照表[鍵盤按鍵] ),0))</f>
        <v>ㄏ</v>
      </c>
      <c r="AE23" s="268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87" t="str">
        <f t="shared" si="11"/>
        <v>"c" : "ㄏ",</v>
      </c>
      <c r="AH23" s="204"/>
      <c r="AI23" s="388" t="str">
        <f t="shared" si="12"/>
        <v>"c" : { commit: "ㄏ" }</v>
      </c>
      <c r="AJ23" s="2"/>
      <c r="AK23" s="422" t="str">
        <f t="shared" si="8"/>
        <v/>
      </c>
      <c r="AL23" s="425"/>
      <c r="AM23" s="210"/>
      <c r="AN23" s="2"/>
      <c r="BC23" s="11"/>
      <c r="BE23" s="225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INDEX(注音編碼對照表[注音符號], MATCH(TRUE, EXACT(RIME設定解析!$AA24, 注音編碼對照表[鍵盤按鍵] ),0))</f>
        <v>ㄧ</v>
      </c>
      <c r="AD24" s="420" t="str" cm="1">
        <f t="array" ref="AD24" xml:space="preserve"> INDEX(注音編碼對照表[台語ㄅㄆㄇ], MATCH(TRUE, EXACT(RIME設定解析!$AA24, 注音編碼對照表[鍵盤按鍵] ),0))</f>
        <v>ㄧ</v>
      </c>
      <c r="AE24" s="268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87" t="str">
        <f t="shared" si="11"/>
        <v>"u" : "ㄧ",</v>
      </c>
      <c r="AH24" s="204"/>
      <c r="AI24" s="388" t="str">
        <f t="shared" si="12"/>
        <v>"u" : { commit: "ㄧ" }</v>
      </c>
      <c r="AJ24" s="2"/>
      <c r="AK24" s="422" t="str">
        <f t="shared" si="8"/>
        <v/>
      </c>
      <c r="AL24" s="425"/>
      <c r="AM24" s="210"/>
      <c r="AN24" s="2"/>
      <c r="BC24" s="11"/>
      <c r="BE24" s="225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INDEX(注音編碼對照表[注音符號], MATCH(TRUE, EXACT(RIME設定解析!$AA25, 注音編碼對照表[鍵盤按鍵] ),0))</f>
        <v>ㄨ</v>
      </c>
      <c r="AD25" s="420" t="str" cm="1">
        <f t="array" ref="AD25" xml:space="preserve"> INDEX(注音編碼對照表[台語ㄅㄆㄇ], MATCH(TRUE, EXACT(RIME設定解析!$AA25, 注音編碼對照表[鍵盤按鍵] ),0))</f>
        <v>ㄨ</v>
      </c>
      <c r="AE25" s="268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87" t="str">
        <f t="shared" si="11"/>
        <v>"j" : "ㄨ",</v>
      </c>
      <c r="AH25" s="204"/>
      <c r="AI25" s="388" t="str">
        <f t="shared" si="12"/>
        <v>"j" : { commit: "ㄨ" }</v>
      </c>
      <c r="AJ25" s="2"/>
      <c r="AK25" s="422" t="str">
        <f t="shared" si="8"/>
        <v/>
      </c>
      <c r="AL25" s="425"/>
      <c r="AM25" s="211" t="s">
        <v>45</v>
      </c>
      <c r="AN25" s="2"/>
      <c r="AO25" s="235" t="str">
        <f xml:space="preserve"> """xlit|" &amp; AO26 &amp; "|" &amp; AO27 &amp; "|"""</f>
        <v>"xlit|pPbmtTnlzcsjZCSJkKgwhiuaOoeyxIUAQEYXRV@GDHMNWB1|ㄅㄆㆠㄇㄉㄊㄋㄌㄗㄘㄙㆡㄐㄑㄒㆢㄍㄎㆣㄫㄏㄧㄨㄚㆦㄜㆤㄞㄠㆪㆫㆩㆧㆥㆮㆯㆨㆰㄢㄤㆱㆲㆬㄣㆭㄬˉ|"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6"/>
      <c r="BE25" s="225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INDEX(注音編碼對照表[注音符號], MATCH(TRUE, EXACT(RIME設定解析!$AA26, 注音編碼對照表[鍵盤按鍵] ),0))</f>
        <v>ㄚ</v>
      </c>
      <c r="AD26" s="420" t="str" cm="1">
        <f t="array" ref="AD26" xml:space="preserve"> INDEX(注音編碼對照表[台語ㄅㄆㄇ], MATCH(TRUE, EXACT(RIME設定解析!$AA26, 注音編碼對照表[鍵盤按鍵] ),0))</f>
        <v>ㄚ</v>
      </c>
      <c r="AE26" s="268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87" t="str">
        <f t="shared" si="11"/>
        <v>"8" : "ㄚ",</v>
      </c>
      <c r="AH26" s="204"/>
      <c r="AI26" s="388" t="str">
        <f t="shared" si="12"/>
        <v>"8" : { commit: "ㄚ" }</v>
      </c>
      <c r="AJ26" s="2"/>
      <c r="AK26" s="422" t="str">
        <f t="shared" si="8"/>
        <v/>
      </c>
      <c r="AL26" s="425"/>
      <c r="AM26" s="212" t="s">
        <v>380</v>
      </c>
      <c r="AN26" s="1">
        <f xml:space="preserve"> LEN(AO26)</f>
        <v>47</v>
      </c>
      <c r="AO26" s="37" t="str">
        <f xml:space="preserve"> _xlfn.CONCAT(AB$3:AB$49)</f>
        <v>pPbmtTnlzcsjZCSJkKgwhiuaOoeyxIUAQEYXRV@GDHMNWB1</v>
      </c>
      <c r="BB26" s="38" t="s">
        <v>25</v>
      </c>
      <c r="BC26" s="238" t="str">
        <f>BC9</f>
        <v>U</v>
      </c>
      <c r="BD26" s="40">
        <f xml:space="preserve"> FIND(BC26, AO26)</f>
        <v>31</v>
      </c>
      <c r="BE26" s="225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INDEX(注音編碼對照表[注音符號], MATCH(TRUE, EXACT(RIME設定解析!$AA27, 注音編碼對照表[鍵盤按鍵] ),0))</f>
        <v>ㆦ</v>
      </c>
      <c r="AD27" s="420" t="str" cm="1">
        <f t="array" ref="AD27" xml:space="preserve"> INDEX(注音編碼對照表[台語ㄅㄆㄇ], MATCH(TRUE, EXACT(RIME設定解析!$AA27, 注音編碼對照表[鍵盤按鍵] ),0))</f>
        <v>ㆦ</v>
      </c>
      <c r="AE27" s="268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87" t="str">
        <f t="shared" si="11"/>
        <v>"i" : "ㆦ",</v>
      </c>
      <c r="AH27" s="204"/>
      <c r="AI27" s="388" t="str">
        <f t="shared" si="12"/>
        <v>"i" : { commit: "ㆦ" }</v>
      </c>
      <c r="AJ27" s="2"/>
      <c r="AK27" s="422" t="str">
        <f t="shared" si="8"/>
        <v/>
      </c>
      <c r="AL27" s="425"/>
      <c r="AM27" s="215" t="s">
        <v>404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5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INDEX(注音編碼對照表[注音符號], MATCH(TRUE, EXACT(RIME設定解析!$AA28, 注音編碼對照表[鍵盤按鍵] ),0))</f>
        <v>ㄜ</v>
      </c>
      <c r="AD28" s="420" t="str" cm="1">
        <f t="array" ref="AD28" xml:space="preserve"> INDEX(注音編碼對照表[台語ㄅㄆㄇ], MATCH(TRUE, EXACT(RIME設定解析!$AA28, 注音編碼對照表[鍵盤按鍵] ),0))</f>
        <v>ㄜ</v>
      </c>
      <c r="AE28" s="268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87" t="str">
        <f t="shared" si="11"/>
        <v>"k" : "ㄜ",</v>
      </c>
      <c r="AH28" s="204"/>
      <c r="AI28" s="388" t="str">
        <f t="shared" si="12"/>
        <v>"k" : { commit: "ㄜ" }</v>
      </c>
      <c r="AJ28" s="2"/>
      <c r="AK28" s="422" t="str">
        <f t="shared" si="8"/>
        <v/>
      </c>
      <c r="AL28" s="425"/>
      <c r="AM28" s="210"/>
      <c r="AN28" s="2"/>
      <c r="BC28" s="11"/>
      <c r="BE28" s="225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INDEX(注音編碼對照表[注音符號], MATCH(TRUE, EXACT(RIME設定解析!$AA29, 注音編碼對照表[鍵盤按鍵] ),0))</f>
        <v>ㆤ</v>
      </c>
      <c r="AD29" s="420" t="str" cm="1">
        <f t="array" ref="AD29" xml:space="preserve"> INDEX(注音編碼對照表[台語ㄅㄆㄇ], MATCH(TRUE, EXACT(RIME設定解析!$AA29, 注音編碼對照表[鍵盤按鍵] ),0))</f>
        <v>ㆤ</v>
      </c>
      <c r="AE29" s="268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87" t="str">
        <f t="shared" si="11"/>
        <v>"," : "ㆤ",</v>
      </c>
      <c r="AH29" s="204"/>
      <c r="AI29" s="388" t="str">
        <f t="shared" si="12"/>
        <v>"," : { commit: "ㆤ" }</v>
      </c>
      <c r="AJ29" s="2"/>
      <c r="AK29" s="422" t="str">
        <f t="shared" si="8"/>
        <v/>
      </c>
      <c r="AL29" s="425"/>
      <c r="AM29" s="210"/>
      <c r="AN29" s="2"/>
      <c r="BC29" s="11"/>
      <c r="BE29" s="225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INDEX(注音編碼對照表[注音符號], MATCH(TRUE, EXACT(RIME設定解析!$AA30, 注音編碼對照表[鍵盤按鍵] ),0))</f>
        <v>ㄞ</v>
      </c>
      <c r="AD30" s="420" t="str" cm="1">
        <f t="array" ref="AD30" xml:space="preserve"> INDEX(注音編碼對照表[台語ㄅㄆㄇ], MATCH(TRUE, EXACT(RIME設定解析!$AA30, 注音編碼對照表[鍵盤按鍵] ),0))</f>
        <v>ㄞ</v>
      </c>
      <c r="AE30" s="268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87" t="str">
        <f t="shared" si="11"/>
        <v>"9" : "ㄞ",</v>
      </c>
      <c r="AH30" s="204"/>
      <c r="AI30" s="388" t="str">
        <f t="shared" si="12"/>
        <v>"9" : { commit: "ㄞ" }</v>
      </c>
      <c r="AJ30" s="2"/>
      <c r="AK30" s="422" t="str">
        <f t="shared" si="8"/>
        <v/>
      </c>
      <c r="AL30" s="425"/>
      <c r="AM30" s="210"/>
      <c r="AN30" s="2"/>
      <c r="BC30" s="11"/>
      <c r="BE30" s="225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INDEX(注音編碼對照表[注音符號], MATCH(TRUE, EXACT(RIME設定解析!$AA31, 注音編碼對照表[鍵盤按鍵] ),0))</f>
        <v>ㄠ</v>
      </c>
      <c r="AD31" s="420" t="str" cm="1">
        <f t="array" ref="AD31" xml:space="preserve"> INDEX(注音編碼對照表[台語ㄅㄆㄇ], MATCH(TRUE, EXACT(RIME設定解析!$AA31, 注音編碼對照表[鍵盤按鍵] ),0))</f>
        <v>ㄠ</v>
      </c>
      <c r="AE31" s="268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87" t="str">
        <f t="shared" si="11"/>
        <v>"l" : "ㄠ",</v>
      </c>
      <c r="AH31" s="204"/>
      <c r="AI31" s="388" t="str">
        <f t="shared" si="12"/>
        <v>"l" : { commit: "ㄠ" }</v>
      </c>
      <c r="AJ31" s="2"/>
      <c r="AK31" s="422" t="str">
        <f t="shared" si="8"/>
        <v/>
      </c>
      <c r="AL31" s="425"/>
      <c r="AM31" s="210"/>
      <c r="AN31" s="2"/>
      <c r="BC31" s="11"/>
      <c r="BE31" s="225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INDEX(注音編碼對照表[注音符號], MATCH(TRUE, EXACT(RIME設定解析!$AA32, 注音編碼對照表[鍵盤按鍵] ),0))</f>
        <v>ㆪ</v>
      </c>
      <c r="AD32" s="420" t="str" cm="1">
        <f t="array" ref="AD32" xml:space="preserve"> INDEX(注音編碼對照表[台語ㄅㄆㄇ], MATCH(TRUE, EXACT(RIME設定解析!$AA32, 注音編碼對照表[鍵盤按鍵] ),0))</f>
        <v>ㆪ</v>
      </c>
      <c r="AE32" s="268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87" t="str">
        <f t="shared" si="11"/>
        <v>"U" : "ㆪ",</v>
      </c>
      <c r="AH32" s="204"/>
      <c r="AI32" s="388" t="str">
        <f t="shared" si="12"/>
        <v>"U" : { commit: "ㆪ" }</v>
      </c>
      <c r="AJ32" s="2"/>
      <c r="AK32" s="422" t="str">
        <f t="shared" si="8"/>
        <v/>
      </c>
      <c r="AL32" s="425"/>
      <c r="AM32" s="210"/>
      <c r="BC32" s="11"/>
      <c r="BE32" s="225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INDEX(注音編碼對照表[注音符號], MATCH(TRUE, EXACT(RIME設定解析!$AA33, 注音編碼對照表[鍵盤按鍵] ),0))</f>
        <v>ㆫ</v>
      </c>
      <c r="AD33" s="420" t="str" cm="1">
        <f t="array" ref="AD33" xml:space="preserve"> INDEX(注音編碼對照表[台語ㄅㄆㄇ], MATCH(TRUE, EXACT(RIME設定解析!$AA33, 注音編碼對照表[鍵盤按鍵] ),0))</f>
        <v>ㆫ</v>
      </c>
      <c r="AE33" s="268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87" t="str">
        <f t="shared" si="11"/>
        <v>"J" : "ㆫ",</v>
      </c>
      <c r="AH33" s="204"/>
      <c r="AI33" s="388" t="str">
        <f t="shared" si="12"/>
        <v>"J" : { commit: "ㆫ" }</v>
      </c>
      <c r="AJ33" s="2"/>
      <c r="AK33" s="422" t="str">
        <f t="shared" si="8"/>
        <v/>
      </c>
      <c r="AL33" s="425"/>
      <c r="AM33" s="210"/>
      <c r="AN33" s="2"/>
      <c r="BC33" s="11"/>
      <c r="BE33" s="225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INDEX(注音編碼對照表[注音符號], MATCH(TRUE, EXACT(RIME設定解析!$AA34, 注音編碼對照表[鍵盤按鍵] ),0))</f>
        <v>ㆩ</v>
      </c>
      <c r="AD34" s="420" t="str" cm="1">
        <f t="array" ref="AD34" xml:space="preserve"> INDEX(注音編碼對照表[台語ㄅㄆㄇ], MATCH(TRUE, EXACT(RIME設定解析!$AA34, 注音編碼對照表[鍵盤按鍵] ),0))</f>
        <v>ㆩ</v>
      </c>
      <c r="AE34" s="268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87" t="str">
        <f t="shared" si="11"/>
        <v>"*" : "ㆩ",</v>
      </c>
      <c r="AH34" s="204"/>
      <c r="AI34" s="388" t="str">
        <f t="shared" si="12"/>
        <v>"*" : { commit: "ㆩ" }</v>
      </c>
      <c r="AJ34" s="2"/>
      <c r="AK34" s="422" t="str">
        <f t="shared" si="8"/>
        <v/>
      </c>
      <c r="AL34" s="425"/>
      <c r="AM34" s="210"/>
      <c r="AN34" s="2"/>
      <c r="BC34" s="11"/>
      <c r="BE34" s="225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INDEX(注音編碼對照表[注音符號], MATCH(TRUE, EXACT(RIME設定解析!$AA35, 注音編碼對照表[鍵盤按鍵] ),0))</f>
        <v>ㆧ</v>
      </c>
      <c r="AD35" s="420" t="str" cm="1">
        <f t="array" ref="AD35" xml:space="preserve"> INDEX(注音編碼對照表[台語ㄅㄆㄇ], MATCH(TRUE, EXACT(RIME設定解析!$AA35, 注音編碼對照表[鍵盤按鍵] ),0))</f>
        <v>ㆧ</v>
      </c>
      <c r="AE35" s="268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87" t="str">
        <f t="shared" si="11"/>
        <v>"I" : "ㆧ",</v>
      </c>
      <c r="AH35" s="204"/>
      <c r="AI35" s="388" t="str">
        <f t="shared" si="12"/>
        <v>"I" : { commit: "ㆧ" }</v>
      </c>
      <c r="AJ35" s="2"/>
      <c r="AK35" s="422" t="str">
        <f t="shared" si="8"/>
        <v/>
      </c>
      <c r="AL35" s="425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5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INDEX(注音編碼對照表[注音符號], MATCH(TRUE, EXACT(RIME設定解析!$AA36, 注音編碼對照表[鍵盤按鍵] ),0))</f>
        <v>ㆥ</v>
      </c>
      <c r="AD36" s="420" t="str" cm="1">
        <f t="array" ref="AD36" xml:space="preserve"> INDEX(注音編碼對照表[台語ㄅㄆㄇ], MATCH(TRUE, EXACT(RIME設定解析!$AA36, 注音編碼對照表[鍵盤按鍵] ),0))</f>
        <v>ㆥ</v>
      </c>
      <c r="AE36" s="268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87" t="str">
        <f t="shared" si="11"/>
        <v>"&lt;" : "ㆥ",</v>
      </c>
      <c r="AH36" s="204"/>
      <c r="AI36" s="388" t="str">
        <f t="shared" si="12"/>
        <v>"&lt;" : { commit: "ㆥ" }</v>
      </c>
      <c r="AJ36" s="2"/>
      <c r="AK36" s="422" t="str">
        <f t="shared" si="8"/>
        <v/>
      </c>
      <c r="AL36" s="425"/>
      <c r="AM36" s="210" t="str">
        <f t="shared" si="26"/>
        <v/>
      </c>
      <c r="AN36" s="2"/>
      <c r="BC36" s="11"/>
      <c r="BE36" s="225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INDEX(注音編碼對照表[注音符號], MATCH(TRUE, EXACT(RIME設定解析!$AA37, 注音編碼對照表[鍵盤按鍵] ),0))</f>
        <v>ㆮ</v>
      </c>
      <c r="AD37" s="420" t="str" cm="1">
        <f t="array" ref="AD37" xml:space="preserve"> INDEX(注音編碼對照表[台語ㄅㄆㄇ], MATCH(TRUE, EXACT(RIME設定解析!$AA37, 注音編碼對照表[鍵盤按鍵] ),0))</f>
        <v>ㆮ</v>
      </c>
      <c r="AE37" s="268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87" t="str">
        <f t="shared" si="11"/>
        <v>"(" : "ㆮ",</v>
      </c>
      <c r="AH37" s="204"/>
      <c r="AI37" s="388" t="str">
        <f t="shared" si="12"/>
        <v>"(" : { commit: "ㆮ" }</v>
      </c>
      <c r="AJ37" s="2"/>
      <c r="AK37" s="422" t="str">
        <f t="shared" si="8"/>
        <v/>
      </c>
      <c r="AL37" s="425"/>
      <c r="AM37" s="210" t="str">
        <f t="shared" si="26"/>
        <v/>
      </c>
      <c r="AN37" s="2"/>
      <c r="BC37" s="11"/>
      <c r="BE37" s="225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INDEX(注音編碼對照表[注音符號], MATCH(TRUE, EXACT(RIME設定解析!$AA38, 注音編碼對照表[鍵盤按鍵] ),0))</f>
        <v>ㆯ</v>
      </c>
      <c r="AD38" s="420" t="str" cm="1">
        <f t="array" ref="AD38" xml:space="preserve"> INDEX(注音編碼對照表[台語ㄅㄆㄇ], MATCH(TRUE, EXACT(RIME設定解析!$AA38, 注音編碼對照表[鍵盤按鍵] ),0))</f>
        <v>ㆯ</v>
      </c>
      <c r="AE38" s="268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87" t="str">
        <f t="shared" si="11"/>
        <v>"L" : "ㆯ",</v>
      </c>
      <c r="AH38" s="204"/>
      <c r="AI38" s="388" t="str">
        <f t="shared" si="12"/>
        <v>"L" : { commit: "ㆯ" }</v>
      </c>
      <c r="AJ38" s="2"/>
      <c r="AK38" s="422" t="str">
        <f t="shared" si="8"/>
        <v/>
      </c>
      <c r="AL38" s="425"/>
      <c r="AM38" s="210" t="str">
        <f t="shared" si="26"/>
        <v/>
      </c>
      <c r="AN38" s="2"/>
      <c r="BC38" s="11"/>
      <c r="BE38" s="225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INDEX(注音編碼對照表[注音符號], MATCH(TRUE, EXACT(RIME設定解析!$AA39, 注音編碼對照表[鍵盤按鍵] ),0))</f>
        <v>ㆨ</v>
      </c>
      <c r="AD39" s="420" t="str" cm="1">
        <f t="array" ref="AD39" xml:space="preserve"> INDEX(注音編碼對照表[台語ㄅㄆㄇ], MATCH(TRUE, EXACT(RIME設定解析!$AA39, 注音編碼對照表[鍵盤按鍵] ),0))</f>
        <v>ㄦ</v>
      </c>
      <c r="AE39" s="268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87" t="str">
        <f t="shared" si="11"/>
        <v>"-" : "ㄦ",</v>
      </c>
      <c r="AH39" s="204"/>
      <c r="AI39" s="388" t="str">
        <f t="shared" si="12"/>
        <v>"-" : { commit: "ㄦ" }</v>
      </c>
      <c r="AJ39" s="2"/>
      <c r="AK39" s="422" t="str">
        <f t="shared" si="8"/>
        <v/>
      </c>
      <c r="AL39" s="425"/>
      <c r="AM39" s="210" t="str">
        <f t="shared" si="26"/>
        <v/>
      </c>
      <c r="AN39" s="2"/>
      <c r="BC39" s="11"/>
      <c r="BE39" s="225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INDEX(注音編碼對照表[注音符號], MATCH(TRUE, EXACT(RIME設定解析!$AA40, 注音編碼對照表[鍵盤按鍵] ),0))</f>
        <v>ㆰ</v>
      </c>
      <c r="AD40" s="420" t="str" cm="1">
        <f t="array" ref="AD40" xml:space="preserve"> INDEX(注音編碼對照表[台語ㄅㄆㄇ], MATCH(TRUE, EXACT(RIME設定解析!$AA40, 注音編碼對照表[鍵盤按鍵] ),0))</f>
        <v>ㄚㄇ</v>
      </c>
      <c r="AE40" s="268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87" t="str">
        <f t="shared" si="11"/>
        <v>"M" : "ㄚㄇ",</v>
      </c>
      <c r="AH40" s="204"/>
      <c r="AI40" s="388" t="str">
        <f t="shared" si="12"/>
        <v>"M" : { commit: "ㄚㄇ" }</v>
      </c>
      <c r="AJ40" s="2"/>
      <c r="AK40" s="422" t="str">
        <f t="shared" si="8"/>
        <v>xform/ㆰ/ㄚㄇ/</v>
      </c>
      <c r="AL40" s="425"/>
      <c r="AM40" s="210"/>
      <c r="AN40" s="2"/>
      <c r="BC40" s="11"/>
      <c r="BE40" s="225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INDEX(注音編碼對照表[注音符號], MATCH(TRUE, EXACT(RIME設定解析!$AA41, 注音編碼對照表[鍵盤按鍵] ),0))</f>
        <v>ㄢ</v>
      </c>
      <c r="AD41" s="420" t="str" cm="1">
        <f t="array" ref="AD41" xml:space="preserve"> INDEX(注音編碼對照表[台語ㄅㄆㄇ], MATCH(TRUE, EXACT(RIME設定解析!$AA41, 注音編碼對照表[鍵盤按鍵] ),0))</f>
        <v>ㄢ</v>
      </c>
      <c r="AE41" s="268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87" t="str">
        <f t="shared" si="11"/>
        <v>"0" : "ㄢ",</v>
      </c>
      <c r="AH41" s="204"/>
      <c r="AI41" s="388" t="str">
        <f t="shared" si="12"/>
        <v>"0" : { commit: "ㄢ" }</v>
      </c>
      <c r="AJ41" s="2"/>
      <c r="AK41" s="422" t="str">
        <f t="shared" si="8"/>
        <v/>
      </c>
      <c r="AL41" s="425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5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INDEX(注音編碼對照表[注音符號], MATCH(TRUE, EXACT(RIME設定解析!$AA42, 注音編碼對照表[鍵盤按鍵] ),0))</f>
        <v>ㄤ</v>
      </c>
      <c r="AD42" s="420" t="str" cm="1">
        <f t="array" ref="AD42" xml:space="preserve"> INDEX(注音編碼對照表[台語ㄅㄆㄇ], MATCH(TRUE, EXACT(RIME設定解析!$AA42, 注音編碼對照表[鍵盤按鍵] ),0))</f>
        <v>ㄤ</v>
      </c>
      <c r="AE42" s="268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87" t="str">
        <f t="shared" si="11"/>
        <v>";" : "ㄤ",</v>
      </c>
      <c r="AH42" s="204"/>
      <c r="AI42" s="388" t="str">
        <f t="shared" si="12"/>
        <v>";" : { commit: "ㄤ" }</v>
      </c>
      <c r="AJ42" s="2"/>
      <c r="AK42" s="422" t="str">
        <f t="shared" si="8"/>
        <v/>
      </c>
      <c r="AL42" s="425"/>
      <c r="AM42" s="210" t="str">
        <f t="shared" si="27"/>
        <v/>
      </c>
      <c r="AN42" s="2"/>
      <c r="BC42" s="11"/>
      <c r="BE42" s="225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INDEX(注音編碼對照表[注音符號], MATCH(TRUE, EXACT(RIME設定解析!$AA43, 注音編碼對照表[鍵盤按鍵] ),0))</f>
        <v>ㆱ</v>
      </c>
      <c r="AD43" s="420" t="str" cm="1">
        <f t="array" ref="AD43" xml:space="preserve"> INDEX(注音編碼對照表[台語ㄅㄆㄇ], MATCH(TRUE, EXACT(RIME設定解析!$AA43, 注音編碼對照表[鍵盤按鍵] ),0))</f>
        <v>ㄛㄇ</v>
      </c>
      <c r="AE43" s="268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87" t="str">
        <f t="shared" si="11"/>
        <v>"O" : "ㄛㄇ",</v>
      </c>
      <c r="AH43" s="204"/>
      <c r="AI43" s="388" t="str">
        <f t="shared" si="12"/>
        <v>"O" : { commit: "ㄛㄇ" }</v>
      </c>
      <c r="AJ43" s="2"/>
      <c r="AK43" s="422" t="str">
        <f t="shared" ref="AK43:AK54" si="28" xml:space="preserve"> IF(LEN(AC43)=LEN(AD43), "", _xlfn.CONCAT( "xform/", AC43, "/", AD43, "/"))</f>
        <v>xform/ㆱ/ㄛㄇ/</v>
      </c>
      <c r="AL43" s="425"/>
      <c r="AN43" s="2"/>
      <c r="BC43" s="11"/>
      <c r="BE43" s="225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cm="1">
        <f t="array" ref="X44" xml:space="preserve"> INDEX(注音編碼對照表!$G$3:$G$60, MATCH(TRUE, EXACT(表格1_33411[[#This Row],[注音編碼]], 注音編碼對照表!$E$3:$E$54), 0))</f>
        <v>1</v>
      </c>
      <c r="Y44" s="24"/>
      <c r="Z44" s="87">
        <f t="shared" si="10"/>
        <v>42</v>
      </c>
      <c r="AA44" s="96" t="str">
        <f>使用按鍵解析!J52</f>
        <v>o</v>
      </c>
      <c r="AB44" s="265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INDEX(注音編碼對照表[注音符號], MATCH(TRUE, EXACT(RIME設定解析!$AA44, 注音編碼對照表[鍵盤按鍵] ),0))</f>
        <v>ㆲ</v>
      </c>
      <c r="AD44" s="420" t="str" cm="1">
        <f t="array" ref="AD44" xml:space="preserve"> INDEX(注音編碼對照表[台語ㄅㄆㄇ], MATCH(TRUE, EXACT(RIME設定解析!$AA44, 注音編碼對照表[鍵盤按鍵] ),0))</f>
        <v>ㄛㄥ</v>
      </c>
      <c r="AE44" s="267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87" t="str">
        <f t="shared" si="11"/>
        <v>"o" : "ㄛㄥ",</v>
      </c>
      <c r="AH44" s="204"/>
      <c r="AI44" s="388" t="str">
        <f t="shared" si="12"/>
        <v>"o" : { commit: "ㄛㄥ" }</v>
      </c>
      <c r="AJ44" s="2"/>
      <c r="AK44" s="422" t="str">
        <f t="shared" si="28"/>
        <v>xform/ㆲ/ㄛㄥ/</v>
      </c>
      <c r="AL44" s="425"/>
      <c r="AN44" s="2"/>
      <c r="BC44" s="11"/>
      <c r="BE44" s="225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cm="1">
        <f t="array" ref="X45" xml:space="preserve"> INDEX(注音編碼對照表!$G$3:$G$60, MATCH(TRUE, EXACT(表格1_33411[[#This Row],[注音編碼]], 注音編碼對照表!$E$3:$E$54), 0))</f>
        <v>2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INDEX(注音編碼對照表[注音符號], MATCH(TRUE, EXACT(RIME設定解析!$AA45, 注音編碼對照表[鍵盤按鍵] ),0))</f>
        <v>ㆬ</v>
      </c>
      <c r="AD45" s="420" t="str" cm="1">
        <f t="array" ref="AD45" xml:space="preserve"> INDEX(注音編碼對照表[台語ㄅㄆㄇ], MATCH(TRUE, EXACT(RIME設定解析!$AA45, 注音編碼對照表[鍵盤按鍵] ),0))</f>
        <v>ㄇ</v>
      </c>
      <c r="AE45" s="268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87" t="str">
        <f t="shared" si="11"/>
        <v>"m" : "ㄇ",</v>
      </c>
      <c r="AH45" s="204"/>
      <c r="AI45" s="388" t="str">
        <f t="shared" si="12"/>
        <v>"m" : { commit: "ㄇ" }</v>
      </c>
      <c r="AJ45" s="2"/>
      <c r="AK45" s="422" t="str">
        <f t="shared" si="28"/>
        <v/>
      </c>
      <c r="AL45" s="425"/>
      <c r="AN45" s="2"/>
      <c r="BC45" s="11"/>
      <c r="BE45" s="225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cm="1">
        <f t="array" ref="X46" xml:space="preserve"> INDEX(注音編碼對照表!$G$3:$G$60, MATCH(TRUE, EXACT(表格1_33411[[#This Row],[注音編碼]], 注音編碼對照表!$E$3:$E$54), 0))</f>
        <v>3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INDEX(注音編碼對照表[注音符號], MATCH(TRUE, EXACT(RIME設定解析!$AA46, 注音編碼對照表[鍵盤按鍵] ),0))</f>
        <v>ㄣ</v>
      </c>
      <c r="AD46" s="420" t="str" cm="1">
        <f t="array" ref="AD46" xml:space="preserve"> INDEX(注音編碼對照表[台語ㄅㄆㄇ], MATCH(TRUE, EXACT(RIME設定解析!$AA46, 注音編碼對照表[鍵盤按鍵] ),0))</f>
        <v>ㄣ</v>
      </c>
      <c r="AE46" s="268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87" t="str">
        <f t="shared" si="11"/>
        <v>"p" : "ㄣ",</v>
      </c>
      <c r="AH46" s="204"/>
      <c r="AI46" s="388" t="str">
        <f t="shared" si="12"/>
        <v>"p" : { commit: "ㄣ" }</v>
      </c>
      <c r="AJ46" s="2"/>
      <c r="AK46" s="422" t="str">
        <f t="shared" si="28"/>
        <v/>
      </c>
      <c r="AL46" s="425"/>
      <c r="AN46" s="2"/>
      <c r="BC46" s="11"/>
      <c r="BE46" s="225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cm="1">
        <f t="array" ref="X47" xml:space="preserve"> INDEX(注音編碼對照表!$G$3:$G$60, MATCH(TRUE, EXACT(表格1_33411[[#This Row],[注音編碼]], 注音編碼對照表!$E$3:$E$54), 0))</f>
        <v>5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INDEX(注音編碼對照表[注音符號], MATCH(TRUE, EXACT(RIME設定解析!$AA47, 注音編碼對照表[鍵盤按鍵] ),0))</f>
        <v>ㆭ</v>
      </c>
      <c r="AD47" s="420" t="str" cm="1">
        <f t="array" ref="AD47" xml:space="preserve"> INDEX(注音編碼對照表[台語ㄅㄆㄇ], MATCH(TRUE, EXACT(RIME設定解析!$AA47, 注音編碼對照表[鍵盤按鍵] ),0))</f>
        <v>ㄥ</v>
      </c>
      <c r="AE47" s="268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87" t="str">
        <f t="shared" si="11"/>
        <v>"/" : "ㄥ",</v>
      </c>
      <c r="AH47" s="204"/>
      <c r="AI47" s="388" t="str">
        <f t="shared" si="12"/>
        <v>"/" : { commit: "ㄥ" }</v>
      </c>
      <c r="AJ47" s="2"/>
      <c r="AK47" s="422" t="str">
        <f t="shared" si="28"/>
        <v/>
      </c>
      <c r="AL47" s="425"/>
      <c r="AN47" s="2"/>
      <c r="BC47" s="11"/>
      <c r="BE47" s="225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cm="1">
        <f t="array" ref="X48" xml:space="preserve"> INDEX(注音編碼對照表!$G$3:$G$60, MATCH(TRUE, EXACT(表格1_33411[[#This Row],[注音編碼]], 注音編碼對照表!$E$3:$E$54), 0))</f>
        <v>7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INDEX(注音編碼對照表[注音符號], MATCH(TRUE, EXACT(RIME設定解析!$AA48, 注音編碼對照表[鍵盤按鍵] ),0))</f>
        <v>ㄬ</v>
      </c>
      <c r="AD48" s="420" t="str" cm="1">
        <f t="array" ref="AD48" xml:space="preserve"> INDEX(注音編碼對照表[台語ㄅㄆㄇ], MATCH(TRUE, EXACT(RIME設定解析!$AA48, 注音編碼對照表[鍵盤按鍵] ),0))</f>
        <v></v>
      </c>
      <c r="AE48" s="268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87" t="str">
        <f t="shared" si="11"/>
        <v>"." : "",</v>
      </c>
      <c r="AH48" s="204"/>
      <c r="AI48" s="388" t="str">
        <f t="shared" si="12"/>
        <v>"." : { commit: "" }</v>
      </c>
      <c r="AJ48" s="2"/>
      <c r="AK48" s="422" t="str">
        <f t="shared" si="28"/>
        <v/>
      </c>
      <c r="AL48" s="425"/>
      <c r="AM48" s="427" t="s">
        <v>1535</v>
      </c>
      <c r="AN48" s="2"/>
      <c r="AQ48" s="428" t="s">
        <v>1532</v>
      </c>
      <c r="AR48" s="428" t="s">
        <v>1533</v>
      </c>
      <c r="BC48" s="11"/>
      <c r="BE48" s="225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str" cm="1">
        <f t="array" ref="X49" xml:space="preserve"> INDEX(注音編碼對照表!$G$3:$G$60, MATCH(TRUE, EXACT(表格1_33411[[#This Row],[注音編碼]], 注音編碼對照表!$E$3:$E$54), 0))</f>
        <v>[48]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1</v>
      </c>
      <c r="AC49" s="32" t="str" cm="1">
        <f t="array" ref="AC49" xml:space="preserve"> INDEX(注音編碼對照表[注音符號], MATCH(TRUE, EXACT(RIME設定解析!$AA49, 注音編碼對照表[鍵盤按鍵] ),0))</f>
        <v>ˉ</v>
      </c>
      <c r="AD49" s="420" t="str" cm="1">
        <f t="array" ref="AD49" xml:space="preserve"> INDEX(注音編碼對照表[台語ㄅㄆㄇ], MATCH(TRUE, EXACT(RIME設定解析!$AA49, 注音編碼對照表[鍵盤按鍵] ),0))</f>
        <v>ˉ</v>
      </c>
      <c r="AE49" s="268" cm="1">
        <f t="array" ref="AE49" xml:space="preserve"> INDEX(注音編碼對照表[台語音標], MATCH(TRUE, EXACT(RIME設定解析!$AA49, 注音編碼對照表[鍵盤按鍵] ),0))</f>
        <v>1</v>
      </c>
      <c r="AF49" s="204"/>
      <c r="AG49" s="387" t="str">
        <f t="shared" si="11"/>
        <v>" " : "ˉ",</v>
      </c>
      <c r="AH49" s="204"/>
      <c r="AI49" s="388" t="str">
        <f t="shared" si="12"/>
        <v>" " : { commit: "ˉ" }</v>
      </c>
      <c r="AJ49" s="2"/>
      <c r="AK49" s="422" t="str">
        <f t="shared" si="28"/>
        <v/>
      </c>
      <c r="AL49" s="425"/>
      <c r="AM49" s="391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417" t="s">
        <v>1519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5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2</v>
      </c>
      <c r="AC50" s="32" t="str" cm="1">
        <f t="array" ref="AC50" xml:space="preserve"> INDEX(注音編碼對照表[注音符號], MATCH(TRUE, EXACT(RIME設定解析!$AA50, 注音編碼對照表[鍵盤按鍵] ),0))</f>
        <v>ˋ</v>
      </c>
      <c r="AD50" s="420" t="str" cm="1">
        <f t="array" ref="AD50" xml:space="preserve"> INDEX(注音編碼對照表[台語ㄅㄆㄇ], MATCH(TRUE, EXACT(RIME設定解析!$AA50, 注音編碼對照表[鍵盤按鍵] ),0))</f>
        <v>ˋ</v>
      </c>
      <c r="AE50" s="268" cm="1">
        <f t="array" ref="AE50" xml:space="preserve"> INDEX(注音編碼對照表[台語音標], MATCH(TRUE, EXACT(RIME設定解析!$AA50, 注音編碼對照表[鍵盤按鍵] ),0))</f>
        <v>2</v>
      </c>
      <c r="AF50" s="204"/>
      <c r="AG50" s="387" t="str">
        <f t="shared" si="11"/>
        <v>"4" : "ˋ",</v>
      </c>
      <c r="AH50" s="204"/>
      <c r="AI50" s="388" t="str">
        <f t="shared" si="12"/>
        <v>"4" : { commit: "ˋ" }</v>
      </c>
      <c r="AJ50" s="2"/>
      <c r="AK50" s="422" t="str">
        <f t="shared" si="28"/>
        <v/>
      </c>
      <c r="AL50" s="425"/>
      <c r="AM50" s="391" t="str">
        <f t="shared" si="29"/>
        <v>- xform/4/ˋ/</v>
      </c>
      <c r="AN50" s="47"/>
      <c r="AQ50" s="11">
        <f t="shared" si="30"/>
        <v>2</v>
      </c>
      <c r="AR50" s="217" t="s">
        <v>1522</v>
      </c>
      <c r="AS50" s="2" t="str">
        <f t="shared" si="31"/>
        <v># 陽平: 台羅調號【2】</v>
      </c>
      <c r="BC50" s="11"/>
      <c r="BE50" s="225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3</v>
      </c>
      <c r="AC51" s="32" t="str" cm="1">
        <f t="array" ref="AC51" xml:space="preserve"> INDEX(注音編碼對照表[注音符號], MATCH(TRUE, EXACT(RIME設定解析!$AA51, 注音編碼對照表[鍵盤按鍵] ),0))</f>
        <v>˪</v>
      </c>
      <c r="AD51" s="420" t="str" cm="1">
        <f t="array" ref="AD51" xml:space="preserve"> INDEX(注音編碼對照表[台語ㄅㄆㄇ], MATCH(TRUE, EXACT(RIME設定解析!$AA51, 注音編碼對照表[鍵盤按鍵] ),0))</f>
        <v>ˇ</v>
      </c>
      <c r="AE51" s="268" cm="1">
        <f t="array" ref="AE51" xml:space="preserve"> INDEX(注音編碼對照表[台語音標], MATCH(TRUE, EXACT(RIME設定解析!$AA51, 注音編碼對照表[鍵盤按鍵] ),0))</f>
        <v>3</v>
      </c>
      <c r="AF51" s="204"/>
      <c r="AG51" s="387" t="str">
        <f t="shared" si="11"/>
        <v>"3" : "ˇ",</v>
      </c>
      <c r="AH51" s="204"/>
      <c r="AI51" s="388" t="str">
        <f t="shared" si="12"/>
        <v>"3" : { commit: "ˇ" }</v>
      </c>
      <c r="AJ51" s="2"/>
      <c r="AK51" s="422" t="str">
        <f t="shared" si="28"/>
        <v/>
      </c>
      <c r="AL51" s="425"/>
      <c r="AM51" s="391" t="str">
        <f t="shared" si="29"/>
        <v>- xform/3/ˇ/</v>
      </c>
      <c r="AN51" s="47"/>
      <c r="AQ51" s="11">
        <f t="shared" si="30"/>
        <v>3</v>
      </c>
      <c r="AR51" s="417" t="s">
        <v>1521</v>
      </c>
      <c r="AS51" s="2" t="str">
        <f t="shared" si="31"/>
        <v># 陰去: 台羅調號【3】</v>
      </c>
      <c r="BC51" s="11"/>
      <c r="BE51" s="225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5</v>
      </c>
      <c r="AC52" s="32" t="str" cm="1">
        <f t="array" ref="AC52" xml:space="preserve"> INDEX(注音編碼對照表[注音符號], MATCH(TRUE, EXACT(RIME設定解析!$AA52, 注音編碼對照表[鍵盤按鍵] ),0))</f>
        <v>ˊ</v>
      </c>
      <c r="AD52" s="420" t="str" cm="1">
        <f t="array" ref="AD52" xml:space="preserve"> INDEX(注音編碼對照表[台語ㄅㄆㄇ], MATCH(TRUE, EXACT(RIME設定解析!$AA52, 注音編碼對照表[鍵盤按鍵] ),0))</f>
        <v>ˊ</v>
      </c>
      <c r="AE52" s="268" cm="1">
        <f t="array" ref="AE52" xml:space="preserve"> INDEX(注音編碼對照表[台語音標], MATCH(TRUE, EXACT(RIME設定解析!$AA52, 注音編碼對照表[鍵盤按鍵] ),0))</f>
        <v>5</v>
      </c>
      <c r="AF52" s="204"/>
      <c r="AG52" s="387" t="str">
        <f t="shared" si="11"/>
        <v>"6" : "ˊ",</v>
      </c>
      <c r="AH52" s="204"/>
      <c r="AI52" s="388" t="str">
        <f t="shared" si="12"/>
        <v>"6" : { commit: "ˊ" }</v>
      </c>
      <c r="AJ52" s="2"/>
      <c r="AK52" s="422" t="str">
        <f t="shared" si="28"/>
        <v/>
      </c>
      <c r="AL52" s="425"/>
      <c r="AM52" s="391" t="str">
        <f t="shared" si="29"/>
        <v>- xform/6/ˊ/</v>
      </c>
      <c r="AN52" s="47"/>
      <c r="AQ52" s="11">
        <f t="shared" si="30"/>
        <v>5</v>
      </c>
      <c r="AR52" s="217" t="s">
        <v>1523</v>
      </c>
      <c r="AS52" s="2" t="str">
        <f t="shared" si="31"/>
        <v># 陽入: 台羅調號【5】</v>
      </c>
      <c r="BC52" s="11"/>
      <c r="BE52" s="225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7</v>
      </c>
      <c r="AC53" s="32" t="str" cm="1">
        <f t="array" ref="AC53" xml:space="preserve"> INDEX(注音編碼對照表[注音符號], MATCH(TRUE, EXACT(RIME設定解析!$AA53, 注音編碼對照表[鍵盤按鍵] ),0))</f>
        <v>˫</v>
      </c>
      <c r="AD53" s="420" t="str" cm="1">
        <f t="array" ref="AD53" xml:space="preserve"> INDEX(注音編碼對照表[台語ㄅㄆㄇ], MATCH(TRUE, EXACT(RIME設定解析!$AA53, 注音編碼對照表[鍵盤按鍵] ),0))</f>
        <v>+</v>
      </c>
      <c r="AE53" s="268" cm="1">
        <f t="array" ref="AE53" xml:space="preserve"> INDEX(注音編碼對照表[台語音標], MATCH(TRUE, EXACT(RIME設定解析!$AA53, 注音編碼對照表[鍵盤按鍵] ),0))</f>
        <v>7</v>
      </c>
      <c r="AF53" s="204"/>
      <c r="AG53" s="387" t="str">
        <f t="shared" si="11"/>
        <v>"5" : "+",</v>
      </c>
      <c r="AH53" s="204"/>
      <c r="AI53" s="388" t="str">
        <f t="shared" si="12"/>
        <v>"5" : { commit: "+" }</v>
      </c>
      <c r="AJ53" s="2"/>
      <c r="AK53" s="422" t="str">
        <f t="shared" si="28"/>
        <v/>
      </c>
      <c r="AL53" s="425"/>
      <c r="AM53" s="391" t="str">
        <f t="shared" si="29"/>
        <v>- xform/5/+/</v>
      </c>
      <c r="AN53" s="47"/>
      <c r="AQ53" s="11">
        <f t="shared" si="30"/>
        <v>7</v>
      </c>
      <c r="AR53" s="417" t="s">
        <v>1520</v>
      </c>
      <c r="AS53" s="2" t="str">
        <f t="shared" si="31"/>
        <v># 上声: 台羅調號【7】</v>
      </c>
      <c r="BC53" s="11"/>
      <c r="BE53" s="225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0</v>
      </c>
      <c r="AC54" s="32" t="str" cm="1">
        <f t="array" ref="AC54" xml:space="preserve"> INDEX(注音編碼對照表[注音符號], MATCH(TRUE, EXACT(RIME設定解析!$AA54, 注音編碼對照表[鍵盤按鍵] ),0))</f>
        <v>˙</v>
      </c>
      <c r="AD54" s="420" t="str" cm="1">
        <f t="array" ref="AD54" xml:space="preserve"> INDEX(注音編碼對照表[台語ㄅㄆㄇ], MATCH(TRUE, EXACT(RIME設定解析!$AA54, 注音編碼對照表[鍵盤按鍵] ),0))</f>
        <v>˙</v>
      </c>
      <c r="AE54" s="268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87" t="str">
        <f t="shared" si="11"/>
        <v>"7" : "˙",</v>
      </c>
      <c r="AH54" s="204"/>
      <c r="AI54" s="388" t="str">
        <f t="shared" si="12"/>
        <v>"7" : { commit: "˙" }</v>
      </c>
      <c r="AJ54" s="2"/>
      <c r="AK54" s="422" t="str">
        <f t="shared" si="28"/>
        <v/>
      </c>
      <c r="AL54" s="425"/>
      <c r="AM54" s="391" t="str">
        <f t="shared" si="29"/>
        <v>- xform/7/˙/</v>
      </c>
      <c r="AN54" s="47"/>
      <c r="AQ54" s="11" t="str">
        <f t="shared" si="30"/>
        <v>[48]</v>
      </c>
      <c r="AR54" s="217" t="s">
        <v>1524</v>
      </c>
      <c r="AS54" s="2" t="str">
        <f t="shared" si="31"/>
        <v># 去声: 台羅調號【[48]】</v>
      </c>
      <c r="BC54" s="11"/>
      <c r="BE54" s="225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421"/>
      <c r="AL55" s="424"/>
      <c r="AM55" s="204"/>
      <c r="AN55" s="2"/>
      <c r="BC55" s="11"/>
      <c r="BE55" s="225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421"/>
      <c r="AL56" s="424"/>
      <c r="AM56" s="427" t="s">
        <v>1536</v>
      </c>
      <c r="AN56" s="2"/>
      <c r="AQ56" s="428" t="s">
        <v>1532</v>
      </c>
      <c r="AR56" s="428" t="s">
        <v>1533</v>
      </c>
      <c r="BC56" s="11"/>
      <c r="BE56" s="225"/>
      <c r="BH56" s="2"/>
    </row>
    <row r="57" spans="2:60">
      <c r="G57" s="5"/>
      <c r="I57" s="2"/>
      <c r="J57" s="2"/>
      <c r="R57" s="2"/>
      <c r="U57" s="226" t="s">
        <v>11</v>
      </c>
      <c r="V57" s="227" t="s">
        <v>405</v>
      </c>
      <c r="W57" s="227" t="s">
        <v>404</v>
      </c>
      <c r="X57" s="228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421"/>
      <c r="AL57" s="424"/>
      <c r="AM57" s="391" t="str">
        <f xml:space="preserve"> "- xform/" &amp; AE49 &amp; "/" &amp; AD49 &amp; "/"</f>
        <v>- xform/1/ˉ/</v>
      </c>
      <c r="AN57" s="47"/>
      <c r="AQ57" s="2">
        <v>1</v>
      </c>
      <c r="AR57" s="2" t="s">
        <v>1537</v>
      </c>
      <c r="AS57" s="2" t="s">
        <v>1538</v>
      </c>
      <c r="BC57" s="11"/>
      <c r="BE57" s="225"/>
      <c r="BH57" s="2"/>
    </row>
    <row r="58" spans="2:60">
      <c r="G58" s="5"/>
      <c r="I58" s="2"/>
      <c r="J58" s="2"/>
      <c r="R58" s="2"/>
      <c r="U58" s="229" t="s">
        <v>201</v>
      </c>
      <c r="V58" s="203" t="s">
        <v>394</v>
      </c>
      <c r="W58" s="202" t="s">
        <v>125</v>
      </c>
      <c r="X58" s="230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421"/>
      <c r="AL58" s="424"/>
      <c r="AM58" s="391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355</v>
      </c>
      <c r="AS58" s="2" t="s">
        <v>1539</v>
      </c>
      <c r="BC58" s="11"/>
      <c r="BE58" s="225"/>
      <c r="BH58" s="2"/>
    </row>
    <row r="59" spans="2:60">
      <c r="G59" s="5"/>
      <c r="I59" s="2"/>
      <c r="J59" s="2"/>
      <c r="R59" s="2"/>
      <c r="U59" s="231" t="s">
        <v>390</v>
      </c>
      <c r="V59" s="203" t="s">
        <v>395</v>
      </c>
      <c r="W59" s="202" t="s">
        <v>99</v>
      </c>
      <c r="X59" s="232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421"/>
      <c r="AL59" s="424"/>
      <c r="AM59" s="391" t="str">
        <f t="shared" si="32"/>
        <v>- xform/3/ˇ/</v>
      </c>
      <c r="AN59" s="47"/>
      <c r="AQ59" s="2">
        <v>3</v>
      </c>
      <c r="AR59" s="2" t="s">
        <v>352</v>
      </c>
      <c r="AS59" s="2" t="s">
        <v>1540</v>
      </c>
      <c r="BC59" s="11"/>
      <c r="BE59" s="225"/>
      <c r="BH59" s="2"/>
    </row>
    <row r="60" spans="2:60">
      <c r="G60" s="5"/>
      <c r="I60" s="2"/>
      <c r="J60" s="2"/>
      <c r="R60" s="2"/>
      <c r="U60" s="229" t="s">
        <v>174</v>
      </c>
      <c r="V60" s="203" t="s">
        <v>393</v>
      </c>
      <c r="W60" s="202" t="s">
        <v>101</v>
      </c>
      <c r="X60" s="230" t="s">
        <v>149</v>
      </c>
      <c r="Y60" s="24"/>
      <c r="Z60" s="2"/>
      <c r="AA60" s="217"/>
      <c r="AC60" s="217"/>
      <c r="AE60" s="218" t="s">
        <v>410</v>
      </c>
      <c r="AF60" s="204"/>
      <c r="AG60" s="204"/>
      <c r="AH60" s="204"/>
      <c r="AI60" s="204"/>
      <c r="AJ60" s="2"/>
      <c r="AK60" s="421"/>
      <c r="AL60" s="424"/>
      <c r="AM60" s="391" t="str">
        <f t="shared" si="32"/>
        <v>- xform/5/ˊ/</v>
      </c>
      <c r="AN60" s="47"/>
      <c r="AQ60" s="2">
        <v>5</v>
      </c>
      <c r="AR60" s="2" t="s">
        <v>1541</v>
      </c>
      <c r="AS60" s="2" t="s">
        <v>1542</v>
      </c>
      <c r="BC60" s="11"/>
      <c r="BE60" s="225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421"/>
      <c r="AL61" s="424"/>
      <c r="AM61" s="391" t="str">
        <f t="shared" si="32"/>
        <v>- xform/7/+/</v>
      </c>
      <c r="AN61" s="47"/>
      <c r="AQ61" s="2">
        <v>7</v>
      </c>
      <c r="AR61" s="2" t="s">
        <v>353</v>
      </c>
      <c r="AS61" s="2" t="s">
        <v>1543</v>
      </c>
      <c r="BC61" s="11"/>
      <c r="BE61" s="225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421"/>
      <c r="AL62" s="424"/>
      <c r="AM62" s="391" t="str">
        <f xml:space="preserve"> "- xform/8/˙/"</f>
        <v>- xform/8/˙/</v>
      </c>
      <c r="AN62" s="47"/>
      <c r="AQ62" s="2">
        <v>8</v>
      </c>
      <c r="AR62" s="2" t="s">
        <v>1544</v>
      </c>
      <c r="AS62" s="2" t="s">
        <v>1546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421"/>
      <c r="AL63" s="424"/>
      <c r="AM63" s="391" t="str">
        <f xml:space="preserve"> "- xform/4//"</f>
        <v>- xform/4//</v>
      </c>
      <c r="AN63" s="47"/>
      <c r="AQ63" s="2">
        <v>4</v>
      </c>
      <c r="AR63" s="2" t="s">
        <v>1545</v>
      </c>
      <c r="AS63" s="2" t="s">
        <v>1547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421"/>
      <c r="AL64" s="424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0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8"/>
  <sheetViews>
    <sheetView showGridLines="0" workbookViewId="0">
      <selection activeCell="Y13" sqref="Y13"/>
    </sheetView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62" customFormat="1" ht="45" customHeight="1">
      <c r="B2" s="445" t="s">
        <v>597</v>
      </c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</row>
    <row r="3" spans="2:25" ht="45" customHeight="1">
      <c r="B3" s="363" t="s">
        <v>20</v>
      </c>
      <c r="C3" s="363" t="s">
        <v>27</v>
      </c>
      <c r="D3" s="363" t="s">
        <v>23</v>
      </c>
      <c r="E3" s="363" t="s">
        <v>83</v>
      </c>
      <c r="F3" s="363" t="s">
        <v>29</v>
      </c>
      <c r="G3" s="363" t="s">
        <v>31</v>
      </c>
      <c r="H3" s="363" t="s">
        <v>33</v>
      </c>
      <c r="I3" s="363" t="s">
        <v>85</v>
      </c>
      <c r="J3" s="363" t="s">
        <v>36</v>
      </c>
      <c r="K3" s="363" t="s">
        <v>41</v>
      </c>
      <c r="L3" s="363" t="s">
        <v>38</v>
      </c>
      <c r="M3" s="363" t="s">
        <v>425</v>
      </c>
      <c r="N3" s="363" t="s">
        <v>52</v>
      </c>
      <c r="O3" s="363" t="s">
        <v>602</v>
      </c>
      <c r="P3" s="363" t="s">
        <v>605</v>
      </c>
      <c r="Q3" s="363" t="s">
        <v>601</v>
      </c>
      <c r="R3" s="363" t="s">
        <v>600</v>
      </c>
      <c r="S3" s="363" t="s">
        <v>43</v>
      </c>
      <c r="T3" s="363" t="s">
        <v>48</v>
      </c>
      <c r="U3" s="363" t="s">
        <v>46</v>
      </c>
      <c r="V3" s="363" t="s">
        <v>50</v>
      </c>
      <c r="W3" s="364"/>
      <c r="X3" s="364"/>
      <c r="Y3" s="364"/>
    </row>
    <row r="4" spans="2:25" ht="45" customHeight="1">
      <c r="B4" s="365" t="s">
        <v>264</v>
      </c>
      <c r="C4" s="365" t="s">
        <v>272</v>
      </c>
      <c r="D4" s="365" t="s">
        <v>267</v>
      </c>
      <c r="E4" s="365" t="s">
        <v>269</v>
      </c>
      <c r="F4" s="365" t="s">
        <v>273</v>
      </c>
      <c r="G4" s="365" t="s">
        <v>274</v>
      </c>
      <c r="H4" s="365" t="s">
        <v>276</v>
      </c>
      <c r="I4" s="365" t="s">
        <v>277</v>
      </c>
      <c r="J4" s="365" t="s">
        <v>278</v>
      </c>
      <c r="K4" s="365" t="s">
        <v>289</v>
      </c>
      <c r="L4" s="365" t="s">
        <v>280</v>
      </c>
      <c r="M4" s="365" t="s">
        <v>599</v>
      </c>
      <c r="N4" s="365" t="s">
        <v>283</v>
      </c>
      <c r="O4" s="365" t="s">
        <v>286</v>
      </c>
      <c r="P4" s="365" t="s">
        <v>293</v>
      </c>
      <c r="Q4" s="365" t="s">
        <v>287</v>
      </c>
      <c r="R4" s="365" t="s">
        <v>288</v>
      </c>
      <c r="S4" s="365" t="s">
        <v>299</v>
      </c>
      <c r="T4" s="365" t="s">
        <v>296</v>
      </c>
      <c r="U4" s="365" t="s">
        <v>302</v>
      </c>
      <c r="V4" s="365" t="s">
        <v>303</v>
      </c>
      <c r="W4" s="364"/>
      <c r="X4" s="364"/>
      <c r="Y4" s="364"/>
    </row>
    <row r="5" spans="2:25" s="362" customFormat="1" ht="45" customHeight="1">
      <c r="B5" s="445" t="s">
        <v>598</v>
      </c>
      <c r="C5" s="445"/>
      <c r="D5" s="445"/>
      <c r="E5" s="445"/>
      <c r="F5" s="445"/>
      <c r="G5" s="445"/>
      <c r="H5" s="445"/>
      <c r="I5" s="445"/>
      <c r="J5" s="445"/>
      <c r="K5" s="445"/>
      <c r="L5" s="445"/>
      <c r="M5" s="445"/>
      <c r="N5" s="445"/>
      <c r="O5" s="445"/>
      <c r="P5" s="445"/>
      <c r="Q5" s="445"/>
      <c r="R5" s="445"/>
      <c r="S5" s="445"/>
      <c r="T5" s="445"/>
      <c r="U5" s="445"/>
      <c r="V5" s="445"/>
      <c r="W5" s="445"/>
      <c r="X5" s="445"/>
      <c r="Y5" s="445"/>
    </row>
    <row r="6" spans="2:25" ht="45" customHeight="1">
      <c r="B6" s="363" t="s">
        <v>54</v>
      </c>
      <c r="C6" s="363" t="s">
        <v>111</v>
      </c>
      <c r="D6" s="363" t="s">
        <v>56</v>
      </c>
      <c r="E6" s="363" t="s">
        <v>113</v>
      </c>
      <c r="F6" s="363" t="s">
        <v>58</v>
      </c>
      <c r="G6" s="363" t="s">
        <v>115</v>
      </c>
      <c r="H6" s="363" t="s">
        <v>67</v>
      </c>
      <c r="I6" s="363" t="s">
        <v>121</v>
      </c>
      <c r="J6" s="363" t="s">
        <v>314</v>
      </c>
      <c r="K6" s="363" t="s">
        <v>61</v>
      </c>
      <c r="L6" s="363" t="s">
        <v>119</v>
      </c>
      <c r="M6" s="363" t="s">
        <v>189</v>
      </c>
      <c r="N6" s="363" t="s">
        <v>117</v>
      </c>
      <c r="O6" s="363" t="s">
        <v>72</v>
      </c>
      <c r="P6" s="363" t="s">
        <v>123</v>
      </c>
      <c r="Q6" s="363" t="s">
        <v>423</v>
      </c>
      <c r="R6" s="363" t="s">
        <v>97</v>
      </c>
      <c r="S6" s="363" t="s">
        <v>95</v>
      </c>
      <c r="T6" s="363" t="s">
        <v>1507</v>
      </c>
      <c r="U6" s="363" t="s">
        <v>1508</v>
      </c>
      <c r="V6" s="363" t="s">
        <v>415</v>
      </c>
      <c r="W6" s="363" t="s">
        <v>76</v>
      </c>
      <c r="X6" s="363" t="s">
        <v>425</v>
      </c>
      <c r="Y6" s="363" t="s">
        <v>1525</v>
      </c>
    </row>
    <row r="7" spans="2:25" ht="45" customHeight="1">
      <c r="B7" s="365" t="s">
        <v>304</v>
      </c>
      <c r="C7" s="365" t="s">
        <v>330</v>
      </c>
      <c r="D7" s="365" t="s">
        <v>305</v>
      </c>
      <c r="E7" s="365" t="s">
        <v>332</v>
      </c>
      <c r="F7" s="365" t="s">
        <v>307</v>
      </c>
      <c r="G7" s="365" t="s">
        <v>327</v>
      </c>
      <c r="H7" s="365" t="s">
        <v>309</v>
      </c>
      <c r="I7" s="365" t="s">
        <v>593</v>
      </c>
      <c r="J7" s="365" t="s">
        <v>576</v>
      </c>
      <c r="K7" s="365" t="s">
        <v>313</v>
      </c>
      <c r="L7" s="365" t="s">
        <v>335</v>
      </c>
      <c r="M7" s="365" t="s">
        <v>311</v>
      </c>
      <c r="N7" s="365" t="s">
        <v>594</v>
      </c>
      <c r="O7" s="365" t="s">
        <v>315</v>
      </c>
      <c r="P7" s="365" t="s">
        <v>595</v>
      </c>
      <c r="Q7" s="365" t="s">
        <v>324</v>
      </c>
      <c r="R7" s="365" t="s">
        <v>317</v>
      </c>
      <c r="S7" s="365" t="s">
        <v>319</v>
      </c>
      <c r="T7" s="365" t="s">
        <v>325</v>
      </c>
      <c r="U7" s="365" t="s">
        <v>316</v>
      </c>
      <c r="V7" s="365" t="s">
        <v>306</v>
      </c>
      <c r="W7" s="365" t="s">
        <v>276</v>
      </c>
      <c r="X7" s="365" t="s">
        <v>323</v>
      </c>
      <c r="Y7" s="365" t="s">
        <v>1509</v>
      </c>
    </row>
    <row r="8" spans="2:25" ht="9.9499999999999993" customHeight="1"/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B69"/>
  <sheetViews>
    <sheetView showGridLines="0" zoomScale="50" zoomScaleNormal="50" workbookViewId="0">
      <selection activeCell="T4" sqref="T4:U4"/>
    </sheetView>
  </sheetViews>
  <sheetFormatPr defaultColWidth="7.19921875" defaultRowHeight="27.75"/>
  <cols>
    <col min="1" max="52" width="6.59765625" style="102" customWidth="1"/>
    <col min="53" max="53" width="3.8984375" style="102" customWidth="1"/>
    <col min="54" max="54" width="12.5" style="102" customWidth="1"/>
    <col min="55" max="56" width="12.5" style="111" customWidth="1"/>
    <col min="57" max="59" width="12.5" style="102" customWidth="1"/>
    <col min="60" max="60" width="7.19921875" style="102"/>
    <col min="61" max="61" width="27.296875" style="112" customWidth="1"/>
    <col min="62" max="62" width="7.19921875" style="102"/>
    <col min="63" max="63" width="7.19921875" style="113"/>
    <col min="64" max="64" width="23.796875" style="114" bestFit="1" customWidth="1"/>
    <col min="66" max="66" width="23.796875" style="114" bestFit="1" customWidth="1"/>
    <col min="69" max="16384" width="7.19921875" style="102"/>
  </cols>
  <sheetData>
    <row r="1" spans="1:66" ht="4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66" s="103" customFormat="1" ht="45" customHeight="1">
      <c r="A2" s="115"/>
      <c r="B2" s="449" t="s">
        <v>339</v>
      </c>
      <c r="C2" s="450"/>
      <c r="D2" s="451"/>
      <c r="E2" s="449" t="s">
        <v>340</v>
      </c>
      <c r="F2" s="450"/>
      <c r="G2" s="451"/>
      <c r="H2" s="452" t="s">
        <v>341</v>
      </c>
      <c r="I2" s="453"/>
      <c r="J2" s="454"/>
      <c r="K2" s="452" t="s">
        <v>342</v>
      </c>
      <c r="L2" s="453"/>
      <c r="M2" s="454"/>
      <c r="N2" s="455">
        <v>0.05</v>
      </c>
      <c r="O2" s="456"/>
      <c r="P2" s="457"/>
      <c r="Q2" s="452" t="s">
        <v>343</v>
      </c>
      <c r="R2" s="453"/>
      <c r="S2" s="454"/>
      <c r="T2" s="452" t="s">
        <v>344</v>
      </c>
      <c r="U2" s="453"/>
      <c r="V2" s="454"/>
      <c r="W2" s="458" t="s">
        <v>345</v>
      </c>
      <c r="X2" s="459"/>
      <c r="Y2" s="460"/>
      <c r="Z2" s="458" t="s">
        <v>346</v>
      </c>
      <c r="AA2" s="459"/>
      <c r="AB2" s="460"/>
      <c r="AC2" s="458" t="s">
        <v>347</v>
      </c>
      <c r="AD2" s="459"/>
      <c r="AE2" s="460"/>
      <c r="AF2" s="446" t="s">
        <v>348</v>
      </c>
      <c r="AG2" s="447"/>
      <c r="AH2" s="448"/>
      <c r="AI2" s="446" t="s">
        <v>349</v>
      </c>
      <c r="AJ2" s="447"/>
      <c r="AK2" s="448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A2" s="6" t="s">
        <v>350</v>
      </c>
      <c r="BB2" s="11"/>
      <c r="BC2" s="117"/>
      <c r="BD2" s="117"/>
      <c r="BE2" s="102"/>
      <c r="BF2" s="11"/>
      <c r="BG2" s="11"/>
      <c r="BI2" s="112"/>
      <c r="BK2" s="118"/>
      <c r="BL2" s="119"/>
      <c r="BN2" s="119"/>
    </row>
    <row r="3" spans="1:66" s="103" customFormat="1" ht="45" customHeight="1">
      <c r="A3" s="115"/>
      <c r="B3" s="347" t="str">
        <f ca="1">F18</f>
        <v>ㆠ</v>
      </c>
      <c r="C3" s="359"/>
      <c r="D3" s="355" t="s">
        <v>351</v>
      </c>
      <c r="E3" s="347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53" t="str">
        <f ca="1">AH19</f>
        <v>ㆩ</v>
      </c>
      <c r="X3" s="128"/>
      <c r="Y3" s="357" t="str">
        <f ca="1">AH20</f>
        <v>ann</v>
      </c>
      <c r="Z3" s="353" t="str">
        <f ca="1">AK19</f>
        <v>ㆮ</v>
      </c>
      <c r="AA3" s="128"/>
      <c r="AB3" s="357" t="str">
        <f ca="1">AK20</f>
        <v>ainn</v>
      </c>
      <c r="AC3" s="353"/>
      <c r="AD3" s="128"/>
      <c r="AE3" s="129"/>
      <c r="AF3" s="353"/>
      <c r="AG3" s="128"/>
      <c r="AH3" s="129"/>
      <c r="AI3" s="353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A3" s="2"/>
      <c r="BB3" s="373" t="s">
        <v>243</v>
      </c>
      <c r="BC3" s="374" t="s">
        <v>260</v>
      </c>
      <c r="BD3" s="374" t="s">
        <v>591</v>
      </c>
      <c r="BE3" s="375" t="s">
        <v>250</v>
      </c>
      <c r="BF3" s="376" t="s">
        <v>263</v>
      </c>
      <c r="BG3" s="376"/>
      <c r="BI3" s="112"/>
      <c r="BK3" s="118"/>
      <c r="BL3" s="119"/>
      <c r="BN3" s="119"/>
    </row>
    <row r="4" spans="1:66" ht="45" customHeight="1" thickBot="1">
      <c r="A4" s="130"/>
      <c r="B4" s="348" t="str">
        <f ca="1">D19</f>
        <v>ㄅ</v>
      </c>
      <c r="C4" s="131"/>
      <c r="D4" s="132" t="s">
        <v>21</v>
      </c>
      <c r="E4" s="348" t="str">
        <f ca="1">H19</f>
        <v>ㄉ</v>
      </c>
      <c r="F4" s="131"/>
      <c r="G4" s="132" t="s">
        <v>241</v>
      </c>
      <c r="H4" s="461" t="str">
        <f ca="1">AU19</f>
        <v>ˇ</v>
      </c>
      <c r="I4" s="462"/>
      <c r="J4" s="133" t="s">
        <v>352</v>
      </c>
      <c r="K4" s="463" t="str">
        <f ca="1">AT19</f>
        <v>ˋ</v>
      </c>
      <c r="L4" s="464"/>
      <c r="M4" s="133" t="s">
        <v>353</v>
      </c>
      <c r="N4" s="461" t="str">
        <f ca="1">AW19</f>
        <v>+</v>
      </c>
      <c r="O4" s="462"/>
      <c r="P4" s="133" t="s">
        <v>354</v>
      </c>
      <c r="Q4" s="463" t="str">
        <f ca="1">AV19</f>
        <v>ˊ</v>
      </c>
      <c r="R4" s="464"/>
      <c r="S4" s="133" t="s">
        <v>355</v>
      </c>
      <c r="T4" s="461" t="str">
        <f ca="1">AX19</f>
        <v>˙</v>
      </c>
      <c r="U4" s="462"/>
      <c r="V4" s="133" t="s">
        <v>356</v>
      </c>
      <c r="W4" s="354" t="str">
        <f ca="1">W19</f>
        <v>ㄚ</v>
      </c>
      <c r="X4" s="134"/>
      <c r="Y4" s="135" t="str">
        <f ca="1">W20</f>
        <v>a</v>
      </c>
      <c r="Z4" s="354" t="str">
        <f ca="1">AA19</f>
        <v>ㄞ</v>
      </c>
      <c r="AA4" s="134"/>
      <c r="AB4" s="135" t="str">
        <f ca="1">AA20</f>
        <v>ai</v>
      </c>
      <c r="AC4" s="354" t="str">
        <f ca="1">AC19</f>
        <v>ㄢ</v>
      </c>
      <c r="AD4" s="134"/>
      <c r="AE4" s="135" t="str">
        <f ca="1">AC20</f>
        <v>an</v>
      </c>
      <c r="AF4" s="354" t="str">
        <f ca="1">AE19</f>
        <v>ㄦ</v>
      </c>
      <c r="AG4" s="134"/>
      <c r="AH4" s="135" t="str">
        <f ca="1">AE20</f>
        <v>ir</v>
      </c>
      <c r="AI4" s="354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A4" s="136">
        <f t="shared" ref="BA4:BA50" si="0" xml:space="preserve"> ROW() - 3</f>
        <v>1</v>
      </c>
      <c r="BB4" s="71" t="str">
        <f>注音編碼對照表!C3</f>
        <v>1</v>
      </c>
      <c r="BC4" s="351" t="str" cm="1">
        <f t="array" ref="BC4" xml:space="preserve"> INDEX( 注音編碼對照表[注音符號], MATCH(TRUE, EXACT(注音符號按鍵!$BB4, 注音編碼對照表[鍵盤按鍵]), 0))</f>
        <v>ㄅ</v>
      </c>
      <c r="BD4" s="352" t="str" cm="1">
        <f t="array" ref="BD4" xml:space="preserve"> INDEX( 注音編碼對照表[台語ㄅㄆㄇ], MATCH(TRUE, EXACT(注音符號按鍵!$BB4, 注音編碼對照表[鍵盤按鍵]), 0))</f>
        <v>ㄅ</v>
      </c>
      <c r="BE4" s="349" t="str" cm="1">
        <f t="array" ref="BE4" xml:space="preserve"> INDEX( 注音編碼對照表[國際音標], MATCH(TRUE, EXACT(注音符號按鍵!$BB4, 注音編碼對照表[鍵盤按鍵]), 0))</f>
        <v>p</v>
      </c>
      <c r="BF4" s="350" t="str" cm="1">
        <f t="array" ref="BF4" xml:space="preserve"> INDEX( 注音編碼對照表[台語音標], MATCH(TRUE, EXACT(注音符號按鍵!$BB4, 注音編碼對照表[鍵盤按鍵]), 0))</f>
        <v>p</v>
      </c>
      <c r="BG4" s="95"/>
      <c r="BI4" s="137" t="str">
        <f t="shared" ref="BI4:BI22" si="1" xml:space="preserve"> """" &amp; BB4 &amp; """: { commit: """ &amp; BC4 &amp; """ }"</f>
        <v>"1": { commit: "ㄅ" }</v>
      </c>
      <c r="BK4" s="118">
        <f t="shared" ref="BK4:BK22" si="2">BA4</f>
        <v>1</v>
      </c>
      <c r="BL4" s="138" t="str">
        <f xml:space="preserve"> "- xform/" &amp; BE4 &amp; "/" &amp; BB4 &amp; "/"</f>
        <v>- xform/p/1/</v>
      </c>
      <c r="BN4" s="138" t="str">
        <f xml:space="preserve"> "- xform/" &amp; BB4 &amp; "/" &amp; BC4 &amp; "/"</f>
        <v>- xform/1/ㄅ/</v>
      </c>
    </row>
    <row r="5" spans="1:66" s="103" customFormat="1" ht="45" customHeight="1">
      <c r="A5" s="115"/>
      <c r="B5" s="115"/>
      <c r="C5" s="449" t="s">
        <v>357</v>
      </c>
      <c r="D5" s="450"/>
      <c r="E5" s="451"/>
      <c r="F5" s="449" t="s">
        <v>358</v>
      </c>
      <c r="G5" s="450"/>
      <c r="H5" s="451"/>
      <c r="I5" s="449" t="s">
        <v>231</v>
      </c>
      <c r="J5" s="450"/>
      <c r="K5" s="451"/>
      <c r="L5" s="449" t="s">
        <v>359</v>
      </c>
      <c r="M5" s="450"/>
      <c r="N5" s="451"/>
      <c r="O5" s="449" t="s">
        <v>275</v>
      </c>
      <c r="P5" s="450"/>
      <c r="Q5" s="451"/>
      <c r="R5" s="449" t="s">
        <v>294</v>
      </c>
      <c r="S5" s="450"/>
      <c r="T5" s="451"/>
      <c r="U5" s="458" t="s">
        <v>197</v>
      </c>
      <c r="V5" s="459"/>
      <c r="W5" s="460"/>
      <c r="X5" s="458" t="s">
        <v>205</v>
      </c>
      <c r="Y5" s="459"/>
      <c r="Z5" s="460"/>
      <c r="AA5" s="458" t="s">
        <v>201</v>
      </c>
      <c r="AB5" s="459"/>
      <c r="AC5" s="460"/>
      <c r="AD5" s="458" t="s">
        <v>270</v>
      </c>
      <c r="AE5" s="459"/>
      <c r="AF5" s="460"/>
      <c r="AG5" s="458" t="s">
        <v>360</v>
      </c>
      <c r="AH5" s="459"/>
      <c r="AI5" s="460"/>
      <c r="AJ5" s="458" t="s">
        <v>361</v>
      </c>
      <c r="AK5" s="459"/>
      <c r="AL5" s="460"/>
      <c r="AM5" s="446" t="s">
        <v>362</v>
      </c>
      <c r="AN5" s="447"/>
      <c r="AO5" s="448"/>
      <c r="AP5" s="115"/>
      <c r="AQ5" s="115"/>
      <c r="AR5" s="116"/>
      <c r="AS5" s="116"/>
      <c r="AT5" s="115"/>
      <c r="AU5" s="115"/>
      <c r="AV5" s="115"/>
      <c r="BA5" s="136">
        <f t="shared" si="0"/>
        <v>2</v>
      </c>
      <c r="BB5" s="71" t="str">
        <f>注音編碼對照表!C4</f>
        <v>q</v>
      </c>
      <c r="BC5" s="351" t="str" cm="1">
        <f t="array" ref="BC5" xml:space="preserve"> INDEX( 注音編碼對照表[注音符號], MATCH(TRUE, EXACT(注音符號按鍵!$BB5, 注音編碼對照表[鍵盤按鍵]), 0))</f>
        <v>ㄆ</v>
      </c>
      <c r="BD5" s="352" t="str" cm="1">
        <f t="array" ref="BD5" xml:space="preserve"> INDEX( 注音編碼對照表[台語ㄅㄆㄇ], MATCH(TRUE, EXACT(注音符號按鍵!$BB5, 注音編碼對照表[鍵盤按鍵]), 0))</f>
        <v>ㄆ</v>
      </c>
      <c r="BE5" s="349" t="str" cm="1">
        <f t="array" ref="BE5" xml:space="preserve"> INDEX( 注音編碼對照表[國際音標], MATCH(TRUE, EXACT(注音符號按鍵!$BB5, 注音編碼對照表[鍵盤按鍵]), 0))</f>
        <v>pʰ</v>
      </c>
      <c r="BF5" s="350" t="str" cm="1">
        <f t="array" ref="BF5" xml:space="preserve"> INDEX( 注音編碼對照表[台語音標], MATCH(TRUE, EXACT(注音符號按鍵!$BB5, 注音編碼對照表[鍵盤按鍵]), 0))</f>
        <v>ph</v>
      </c>
      <c r="BG5" s="95"/>
      <c r="BI5" s="137" t="str">
        <f t="shared" si="1"/>
        <v>"q": { commit: "ㄆ" }</v>
      </c>
      <c r="BK5" s="118">
        <f t="shared" si="2"/>
        <v>2</v>
      </c>
      <c r="BL5" s="138" t="str">
        <f t="shared" ref="BL5:BL22" si="3" xml:space="preserve"> "- xform/" &amp; BE5 &amp; "/" &amp; BB5 &amp; "/"</f>
        <v>- xform/pʰ/q/</v>
      </c>
      <c r="BN5" s="138" t="str">
        <f t="shared" ref="BN5:BN22" si="4" xml:space="preserve"> "- xform/" &amp; BB5 &amp; "/" &amp; BC5 &amp; "/"</f>
        <v>- xform/q/ㄆ/</v>
      </c>
    </row>
    <row r="6" spans="1:66" s="103" customFormat="1" ht="45" customHeight="1">
      <c r="A6" s="115"/>
      <c r="B6" s="115"/>
      <c r="C6" s="347"/>
      <c r="D6" s="120"/>
      <c r="E6" s="121"/>
      <c r="F6" s="347"/>
      <c r="G6" s="120"/>
      <c r="H6" s="121"/>
      <c r="I6" s="347" t="str">
        <f ca="1">R19</f>
        <v>ㆣ</v>
      </c>
      <c r="J6" s="120"/>
      <c r="K6" s="355" t="str">
        <f ca="1">R20</f>
        <v>g</v>
      </c>
      <c r="L6" s="347"/>
      <c r="M6" s="120"/>
      <c r="N6" s="121"/>
      <c r="O6" s="347"/>
      <c r="P6" s="120"/>
      <c r="Q6" s="121"/>
      <c r="R6" s="347"/>
      <c r="S6" s="120"/>
      <c r="T6" s="121"/>
      <c r="U6" s="353" t="str">
        <f ca="1">AF19</f>
        <v>ㆪ</v>
      </c>
      <c r="V6" s="128"/>
      <c r="W6" s="357" t="str">
        <f ca="1">AF20</f>
        <v>inn</v>
      </c>
      <c r="X6" s="353" t="str">
        <f ca="1">AI19</f>
        <v>ㆧ</v>
      </c>
      <c r="Y6" s="356"/>
      <c r="Z6" s="357" t="str">
        <f ca="1">AI20</f>
        <v>onn</v>
      </c>
      <c r="AA6" s="353"/>
      <c r="AB6" s="128"/>
      <c r="AC6" s="357"/>
      <c r="AD6" s="353"/>
      <c r="AE6" s="128"/>
      <c r="AF6" s="129"/>
      <c r="AG6" s="353"/>
      <c r="AH6" s="128"/>
      <c r="AI6" s="129"/>
      <c r="AJ6" s="353"/>
      <c r="AK6" s="128"/>
      <c r="AL6" s="129"/>
      <c r="AM6" s="353"/>
      <c r="AN6" s="128"/>
      <c r="AO6" s="129"/>
      <c r="AP6" s="115"/>
      <c r="AQ6" s="115"/>
      <c r="AR6" s="116"/>
      <c r="AS6" s="116"/>
      <c r="AT6" s="115"/>
      <c r="AU6" s="115"/>
      <c r="AV6" s="115"/>
      <c r="BA6" s="136">
        <f t="shared" si="0"/>
        <v>3</v>
      </c>
      <c r="BB6" s="71" t="str">
        <f>注音編碼對照表!C5</f>
        <v>!</v>
      </c>
      <c r="BC6" s="351" t="str" cm="1">
        <f t="array" ref="BC6" xml:space="preserve"> INDEX( 注音編碼對照表[注音符號], MATCH(TRUE, EXACT(注音符號按鍵!$BB6, 注音編碼對照表[鍵盤按鍵]), 0))</f>
        <v>ㆠ</v>
      </c>
      <c r="BD6" s="352" t="str" cm="1">
        <f t="array" ref="BD6" xml:space="preserve"> INDEX( 注音編碼對照表[台語ㄅㄆㄇ], MATCH(TRUE, EXACT(注音符號按鍵!$BB6, 注音編碼對照表[鍵盤按鍵]), 0))</f>
        <v>ㆠ</v>
      </c>
      <c r="BE6" s="349" t="str" cm="1">
        <f t="array" ref="BE6" xml:space="preserve"> INDEX( 注音編碼對照表[國際音標], MATCH(TRUE, EXACT(注音符號按鍵!$BB6, 注音編碼對照表[鍵盤按鍵]), 0))</f>
        <v>b</v>
      </c>
      <c r="BF6" s="350" t="str" cm="1">
        <f t="array" ref="BF6" xml:space="preserve"> INDEX( 注音編碼對照表[台語音標], MATCH(TRUE, EXACT(注音符號按鍵!$BB6, 注音編碼對照表[鍵盤按鍵]), 0))</f>
        <v>b</v>
      </c>
      <c r="BG6" s="95"/>
      <c r="BI6" s="137" t="str">
        <f t="shared" si="1"/>
        <v>"!": { commit: "ㆠ" }</v>
      </c>
      <c r="BK6" s="118">
        <f t="shared" si="2"/>
        <v>3</v>
      </c>
      <c r="BL6" s="138" t="str">
        <f t="shared" si="3"/>
        <v>- xform/b/!/</v>
      </c>
      <c r="BN6" s="138" t="str">
        <f t="shared" si="4"/>
        <v>- xform/!/ㆠ/</v>
      </c>
    </row>
    <row r="7" spans="1:66" ht="45" customHeight="1" thickBot="1">
      <c r="A7" s="130"/>
      <c r="B7" s="130"/>
      <c r="C7" s="348" t="str">
        <f ca="1">E19</f>
        <v>ㄆ</v>
      </c>
      <c r="D7" s="131"/>
      <c r="E7" s="132" t="s">
        <v>24</v>
      </c>
      <c r="F7" s="348" t="str">
        <f ca="1">I19</f>
        <v>ㄊ</v>
      </c>
      <c r="G7" s="131"/>
      <c r="H7" s="132" t="s">
        <v>386</v>
      </c>
      <c r="I7" s="348" t="str">
        <f ca="1">P19</f>
        <v>ㄍ</v>
      </c>
      <c r="J7" s="131"/>
      <c r="K7" s="132" t="str">
        <f ca="1">P20</f>
        <v>k</v>
      </c>
      <c r="L7" s="348"/>
      <c r="M7" s="131"/>
      <c r="N7" s="132"/>
      <c r="O7" s="348"/>
      <c r="P7" s="131"/>
      <c r="Q7" s="132"/>
      <c r="R7" s="348" t="str">
        <f ca="1">L19</f>
        <v>ㄐ</v>
      </c>
      <c r="S7" s="131"/>
      <c r="T7" s="132" t="str">
        <f ca="1">L20</f>
        <v>zi-</v>
      </c>
      <c r="U7" s="354" t="str">
        <f ca="1">U18</f>
        <v>ㄧ</v>
      </c>
      <c r="V7" s="134"/>
      <c r="W7" s="135" t="str">
        <f ca="1">U20</f>
        <v>i</v>
      </c>
      <c r="X7" s="354" t="str">
        <f ca="1">X19</f>
        <v>ㆦ</v>
      </c>
      <c r="Y7" s="134"/>
      <c r="Z7" s="135" t="str">
        <f ca="1">X20</f>
        <v>oo</v>
      </c>
      <c r="AA7" s="354" t="str">
        <f ca="1">AN19</f>
        <v>ㄛㄥ</v>
      </c>
      <c r="AB7" s="134"/>
      <c r="AC7" s="135" t="str">
        <f ca="1">AN20</f>
        <v>ong</v>
      </c>
      <c r="AD7" s="354" t="str">
        <f ca="1">AP19</f>
        <v>ㄣ</v>
      </c>
      <c r="AE7" s="134"/>
      <c r="AF7" s="135" t="str">
        <f ca="1">AP20</f>
        <v>-n</v>
      </c>
      <c r="AG7" s="354"/>
      <c r="AH7" s="134"/>
      <c r="AI7" s="135"/>
      <c r="AJ7" s="354"/>
      <c r="AK7" s="134"/>
      <c r="AL7" s="135"/>
      <c r="AM7" s="354"/>
      <c r="AN7" s="134"/>
      <c r="AO7" s="135"/>
      <c r="AP7" s="130"/>
      <c r="AQ7" s="130"/>
      <c r="AR7" s="110"/>
      <c r="AS7" s="110"/>
      <c r="AT7" s="130"/>
      <c r="AU7" s="130"/>
      <c r="AV7" s="130"/>
      <c r="BA7" s="136">
        <f t="shared" si="0"/>
        <v>4</v>
      </c>
      <c r="BB7" s="71" t="str">
        <f>注音編碼對照表!C6</f>
        <v>a</v>
      </c>
      <c r="BC7" s="351" t="str" cm="1">
        <f t="array" ref="BC7" xml:space="preserve"> INDEX( 注音編碼對照表[注音符號], MATCH(TRUE, EXACT(注音符號按鍵!$BB7, 注音編碼對照表[鍵盤按鍵]), 0))</f>
        <v>ㄇ</v>
      </c>
      <c r="BD7" s="352" t="str" cm="1">
        <f t="array" ref="BD7" xml:space="preserve"> INDEX( 注音編碼對照表[台語ㄅㄆㄇ], MATCH(TRUE, EXACT(注音符號按鍵!$BB7, 注音編碼對照表[鍵盤按鍵]), 0))</f>
        <v>ㄇ</v>
      </c>
      <c r="BE7" s="349" t="str" cm="1">
        <f t="array" ref="BE7" xml:space="preserve"> INDEX( 注音編碼對照表[國際音標], MATCH(TRUE, EXACT(注音符號按鍵!$BB7, 注音編碼對照表[鍵盤按鍵]), 0))</f>
        <v>m</v>
      </c>
      <c r="BF7" s="350" t="str" cm="1">
        <f t="array" ref="BF7" xml:space="preserve"> INDEX( 注音編碼對照表[台語音標], MATCH(TRUE, EXACT(注音符號按鍵!$BB7, 注音編碼對照表[鍵盤按鍵]), 0))</f>
        <v>m</v>
      </c>
      <c r="BG7" s="97"/>
      <c r="BI7" s="137" t="str">
        <f t="shared" si="1"/>
        <v>"a": { commit: "ㄇ" }</v>
      </c>
      <c r="BK7" s="113">
        <f t="shared" si="2"/>
        <v>4</v>
      </c>
      <c r="BL7" s="138" t="str">
        <f t="shared" si="3"/>
        <v>- xform/m/a/</v>
      </c>
      <c r="BN7" s="138" t="str">
        <f t="shared" si="4"/>
        <v>- xform/a/ㄇ/</v>
      </c>
    </row>
    <row r="8" spans="1:66" s="103" customFormat="1" ht="45" customHeight="1">
      <c r="A8" s="115"/>
      <c r="B8" s="115"/>
      <c r="C8" s="139"/>
      <c r="D8" s="449" t="s">
        <v>271</v>
      </c>
      <c r="E8" s="450"/>
      <c r="F8" s="451"/>
      <c r="G8" s="449" t="s">
        <v>300</v>
      </c>
      <c r="H8" s="450"/>
      <c r="I8" s="451"/>
      <c r="J8" s="449" t="s">
        <v>164</v>
      </c>
      <c r="K8" s="450"/>
      <c r="L8" s="451"/>
      <c r="M8" s="449" t="s">
        <v>363</v>
      </c>
      <c r="N8" s="450"/>
      <c r="O8" s="451"/>
      <c r="P8" s="449" t="s">
        <v>140</v>
      </c>
      <c r="Q8" s="450"/>
      <c r="R8" s="451"/>
      <c r="S8" s="449" t="s">
        <v>297</v>
      </c>
      <c r="T8" s="450"/>
      <c r="U8" s="451"/>
      <c r="V8" s="458" t="s">
        <v>192</v>
      </c>
      <c r="W8" s="459"/>
      <c r="X8" s="460"/>
      <c r="Y8" s="458" t="s">
        <v>284</v>
      </c>
      <c r="Z8" s="459"/>
      <c r="AA8" s="460"/>
      <c r="AB8" s="458" t="s">
        <v>186</v>
      </c>
      <c r="AC8" s="459"/>
      <c r="AD8" s="460"/>
      <c r="AE8" s="458" t="s">
        <v>364</v>
      </c>
      <c r="AF8" s="459"/>
      <c r="AG8" s="460"/>
      <c r="AH8" s="446" t="s">
        <v>365</v>
      </c>
      <c r="AI8" s="447"/>
      <c r="AJ8" s="448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A8" s="136">
        <f t="shared" si="0"/>
        <v>5</v>
      </c>
      <c r="BB8" s="71" t="str">
        <f>注音編碼對照表!C7</f>
        <v>2</v>
      </c>
      <c r="BC8" s="351" t="str" cm="1">
        <f t="array" ref="BC8" xml:space="preserve"> INDEX( 注音編碼對照表[注音符號], MATCH(TRUE, EXACT(注音符號按鍵!$BB8, 注音編碼對照表[鍵盤按鍵]), 0))</f>
        <v>ㄉ</v>
      </c>
      <c r="BD8" s="352" t="str" cm="1">
        <f t="array" ref="BD8" xml:space="preserve"> INDEX( 注音編碼對照表[台語ㄅㄆㄇ], MATCH(TRUE, EXACT(注音符號按鍵!$BB8, 注音編碼對照表[鍵盤按鍵]), 0))</f>
        <v>ㄉ</v>
      </c>
      <c r="BE8" s="349" t="str" cm="1">
        <f t="array" ref="BE8" xml:space="preserve"> INDEX( 注音編碼對照表[國際音標], MATCH(TRUE, EXACT(注音符號按鍵!$BB8, 注音編碼對照表[鍵盤按鍵]), 0))</f>
        <v>t</v>
      </c>
      <c r="BF8" s="350" t="str" cm="1">
        <f t="array" ref="BF8" xml:space="preserve"> INDEX( 注音編碼對照表[台語音標], MATCH(TRUE, EXACT(注音符號按鍵!$BB8, 注音編碼對照表[鍵盤按鍵]), 0))</f>
        <v>t</v>
      </c>
      <c r="BG8" s="95"/>
      <c r="BI8" s="137" t="str">
        <f t="shared" si="1"/>
        <v>"2": { commit: "ㄉ" }</v>
      </c>
      <c r="BK8" s="118">
        <f t="shared" si="2"/>
        <v>5</v>
      </c>
      <c r="BL8" s="138" t="str">
        <f t="shared" si="3"/>
        <v>- xform/t/2/</v>
      </c>
      <c r="BN8" s="138" t="str">
        <f t="shared" si="4"/>
        <v>- xform/2/ㄉ/</v>
      </c>
    </row>
    <row r="9" spans="1:66" s="103" customFormat="1" ht="45" customHeight="1">
      <c r="A9" s="115"/>
      <c r="B9" s="115"/>
      <c r="C9" s="139"/>
      <c r="D9" s="347"/>
      <c r="E9" s="120"/>
      <c r="F9" s="121"/>
      <c r="G9" s="347"/>
      <c r="H9" s="120"/>
      <c r="I9" s="121"/>
      <c r="J9" s="347"/>
      <c r="K9" s="120"/>
      <c r="L9" s="121"/>
      <c r="M9" s="347"/>
      <c r="N9" s="120"/>
      <c r="O9" s="121"/>
      <c r="P9" s="347"/>
      <c r="Q9" s="120"/>
      <c r="R9" s="121"/>
      <c r="S9" s="347"/>
      <c r="T9" s="120"/>
      <c r="U9" s="121"/>
      <c r="V9" s="353" t="str">
        <f ca="1">AG19</f>
        <v>ㆫ</v>
      </c>
      <c r="W9" s="356"/>
      <c r="X9" s="357" t="str">
        <f ca="1">AG20</f>
        <v>unn</v>
      </c>
      <c r="Y9" s="353"/>
      <c r="Z9" s="128"/>
      <c r="AA9" s="129"/>
      <c r="AB9" s="353" t="str">
        <f ca="1">AL19</f>
        <v>ㆯ</v>
      </c>
      <c r="AC9" s="128"/>
      <c r="AD9" s="358" t="str">
        <f ca="1">AL20</f>
        <v>aunn</v>
      </c>
      <c r="AE9" s="353"/>
      <c r="AF9" s="356"/>
      <c r="AG9" s="357"/>
      <c r="AH9" s="353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A9" s="136">
        <f t="shared" si="0"/>
        <v>6</v>
      </c>
      <c r="BB9" s="71" t="str">
        <f>注音編碼對照表!C8</f>
        <v>w</v>
      </c>
      <c r="BC9" s="351" t="str" cm="1">
        <f t="array" ref="BC9" xml:space="preserve"> INDEX( 注音編碼對照表[注音符號], MATCH(TRUE, EXACT(注音符號按鍵!$BB9, 注音編碼對照表[鍵盤按鍵]), 0))</f>
        <v>ㄊ</v>
      </c>
      <c r="BD9" s="352" t="str" cm="1">
        <f t="array" ref="BD9" xml:space="preserve"> INDEX( 注音編碼對照表[台語ㄅㄆㄇ], MATCH(TRUE, EXACT(注音符號按鍵!$BB9, 注音編碼對照表[鍵盤按鍵]), 0))</f>
        <v>ㄊ</v>
      </c>
      <c r="BE9" s="349" t="str" cm="1">
        <f t="array" ref="BE9" xml:space="preserve"> INDEX( 注音編碼對照表[國際音標], MATCH(TRUE, EXACT(注音符號按鍵!$BB9, 注音編碼對照表[鍵盤按鍵]), 0))</f>
        <v>tʰ</v>
      </c>
      <c r="BF9" s="350" t="str" cm="1">
        <f t="array" ref="BF9" xml:space="preserve"> INDEX( 注音編碼對照表[台語音標], MATCH(TRUE, EXACT(注音符號按鍵!$BB9, 注音編碼對照表[鍵盤按鍵]), 0))</f>
        <v>th</v>
      </c>
      <c r="BG9" s="95"/>
      <c r="BI9" s="137" t="str">
        <f t="shared" si="1"/>
        <v>"w": { commit: "ㄊ" }</v>
      </c>
      <c r="BK9" s="118">
        <f t="shared" si="2"/>
        <v>6</v>
      </c>
      <c r="BL9" s="138" t="str">
        <f t="shared" si="3"/>
        <v>- xform/tʰ/w/</v>
      </c>
      <c r="BN9" s="138" t="str">
        <f t="shared" si="4"/>
        <v>- xform/w/ㄊ/</v>
      </c>
    </row>
    <row r="10" spans="1:66" ht="45" customHeight="1" thickBot="1">
      <c r="A10" s="130"/>
      <c r="B10" s="130"/>
      <c r="C10" s="130"/>
      <c r="D10" s="348" t="str">
        <f ca="1">G19</f>
        <v>ㄇ</v>
      </c>
      <c r="E10" s="131"/>
      <c r="F10" s="132" t="s">
        <v>84</v>
      </c>
      <c r="G10" s="348" t="str">
        <f ca="1">J19</f>
        <v>ㄋ</v>
      </c>
      <c r="H10" s="131"/>
      <c r="I10" s="132" t="s">
        <v>256</v>
      </c>
      <c r="J10" s="348" t="str">
        <f ca="1">Q19</f>
        <v>ㄎ</v>
      </c>
      <c r="K10" s="131"/>
      <c r="L10" s="132" t="s">
        <v>39</v>
      </c>
      <c r="M10" s="348"/>
      <c r="N10" s="131"/>
      <c r="O10" s="132"/>
      <c r="P10" s="348" t="str">
        <f ca="1">S19</f>
        <v>ㄥ</v>
      </c>
      <c r="Q10" s="131"/>
      <c r="R10" s="132" t="str">
        <f ca="1">S20</f>
        <v>ng-</v>
      </c>
      <c r="S10" s="348" t="str">
        <f ca="1">M19</f>
        <v>ㄑ</v>
      </c>
      <c r="T10" s="131"/>
      <c r="U10" s="132" t="str">
        <f ca="1">M20</f>
        <v>ci-</v>
      </c>
      <c r="V10" s="354" t="str">
        <f ca="1">V19</f>
        <v>ㄨ</v>
      </c>
      <c r="W10" s="134"/>
      <c r="X10" s="135" t="str">
        <f ca="1">V20</f>
        <v>u</v>
      </c>
      <c r="Y10" s="354" t="str">
        <f ca="1">Y19</f>
        <v>ㄜ</v>
      </c>
      <c r="Z10" s="134"/>
      <c r="AA10" s="135" t="str">
        <f ca="1">Y20</f>
        <v>o</v>
      </c>
      <c r="AB10" s="354" t="str">
        <f ca="1">AB19</f>
        <v>ㄠ</v>
      </c>
      <c r="AC10" s="134"/>
      <c r="AD10" s="135" t="str">
        <f ca="1">AB20</f>
        <v>au</v>
      </c>
      <c r="AE10" s="354" t="str">
        <f ca="1">AD19</f>
        <v>ㄤ</v>
      </c>
      <c r="AF10" s="134"/>
      <c r="AG10" s="135" t="str">
        <f ca="1">AD20</f>
        <v>ang</v>
      </c>
      <c r="AH10" s="354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A10" s="136">
        <f t="shared" si="0"/>
        <v>7</v>
      </c>
      <c r="BB10" s="71" t="str">
        <f>注音編碼對照表!C9</f>
        <v>s</v>
      </c>
      <c r="BC10" s="351" t="str" cm="1">
        <f t="array" ref="BC10" xml:space="preserve"> INDEX( 注音編碼對照表[注音符號], MATCH(TRUE, EXACT(注音符號按鍵!$BB10, 注音編碼對照表[鍵盤按鍵]), 0))</f>
        <v>ㄋ</v>
      </c>
      <c r="BD10" s="352" t="str" cm="1">
        <f t="array" ref="BD10" xml:space="preserve"> INDEX( 注音編碼對照表[台語ㄅㄆㄇ], MATCH(TRUE, EXACT(注音符號按鍵!$BB10, 注音編碼對照表[鍵盤按鍵]), 0))</f>
        <v>ㄋ</v>
      </c>
      <c r="BE10" s="349" t="str" cm="1">
        <f t="array" ref="BE10" xml:space="preserve"> INDEX( 注音編碼對照表[國際音標], MATCH(TRUE, EXACT(注音符號按鍵!$BB10, 注音編碼對照表[鍵盤按鍵]), 0))</f>
        <v>n</v>
      </c>
      <c r="BF10" s="350" t="str" cm="1">
        <f t="array" ref="BF10" xml:space="preserve"> INDEX( 注音編碼對照表[台語音標], MATCH(TRUE, EXACT(注音符號按鍵!$BB10, 注音編碼對照表[鍵盤按鍵]), 0))</f>
        <v>n</v>
      </c>
      <c r="BG10" s="95"/>
      <c r="BI10" s="137" t="str">
        <f t="shared" si="1"/>
        <v>"s": { commit: "ㄋ" }</v>
      </c>
      <c r="BK10" s="113">
        <f t="shared" si="2"/>
        <v>7</v>
      </c>
      <c r="BL10" s="138" t="str">
        <f t="shared" si="3"/>
        <v>- xform/n/s/</v>
      </c>
      <c r="BN10" s="138" t="str">
        <f t="shared" si="4"/>
        <v>- xform/s/ㄋ/</v>
      </c>
    </row>
    <row r="11" spans="1:66" s="103" customFormat="1" ht="45" customHeight="1">
      <c r="A11" s="115"/>
      <c r="B11" s="115"/>
      <c r="C11" s="115"/>
      <c r="D11" s="115"/>
      <c r="E11" s="449" t="s">
        <v>295</v>
      </c>
      <c r="F11" s="450"/>
      <c r="G11" s="451"/>
      <c r="H11" s="449" t="s">
        <v>366</v>
      </c>
      <c r="I11" s="450"/>
      <c r="J11" s="451"/>
      <c r="K11" s="449" t="s">
        <v>298</v>
      </c>
      <c r="L11" s="450"/>
      <c r="M11" s="451"/>
      <c r="N11" s="449" t="s">
        <v>367</v>
      </c>
      <c r="O11" s="450"/>
      <c r="P11" s="451"/>
      <c r="Q11" s="449" t="s">
        <v>143</v>
      </c>
      <c r="R11" s="450"/>
      <c r="S11" s="451"/>
      <c r="T11" s="449" t="s">
        <v>368</v>
      </c>
      <c r="U11" s="450"/>
      <c r="V11" s="451"/>
      <c r="W11" s="458" t="s">
        <v>336</v>
      </c>
      <c r="X11" s="459"/>
      <c r="Y11" s="460"/>
      <c r="Z11" s="458" t="s">
        <v>369</v>
      </c>
      <c r="AA11" s="459"/>
      <c r="AB11" s="460"/>
      <c r="AC11" s="458" t="s">
        <v>370</v>
      </c>
      <c r="AD11" s="459"/>
      <c r="AE11" s="460"/>
      <c r="AF11" s="446" t="s">
        <v>371</v>
      </c>
      <c r="AG11" s="447"/>
      <c r="AH11" s="448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A11" s="136">
        <f t="shared" si="0"/>
        <v>8</v>
      </c>
      <c r="BB11" s="71" t="str">
        <f>注音編碼對照表!C10</f>
        <v>x</v>
      </c>
      <c r="BC11" s="351" t="str" cm="1">
        <f t="array" ref="BC11" xml:space="preserve"> INDEX( 注音編碼對照表[注音符號], MATCH(TRUE, EXACT(注音符號按鍵!$BB11, 注音編碼對照表[鍵盤按鍵]), 0))</f>
        <v>ㄌ</v>
      </c>
      <c r="BD11" s="352" t="str" cm="1">
        <f t="array" ref="BD11" xml:space="preserve"> INDEX( 注音編碼對照表[台語ㄅㄆㄇ], MATCH(TRUE, EXACT(注音符號按鍵!$BB11, 注音編碼對照表[鍵盤按鍵]), 0))</f>
        <v>ㄌ</v>
      </c>
      <c r="BE11" s="349" t="str" cm="1">
        <f t="array" ref="BE11" xml:space="preserve"> INDEX( 注音編碼對照表[國際音標], MATCH(TRUE, EXACT(注音符號按鍵!$BB11, 注音編碼對照表[鍵盤按鍵]), 0))</f>
        <v>l</v>
      </c>
      <c r="BF11" s="350" t="str" cm="1">
        <f t="array" ref="BF11" xml:space="preserve"> INDEX( 注音編碼對照表[台語音標], MATCH(TRUE, EXACT(注音符號按鍵!$BB11, 注音編碼對照表[鍵盤按鍵]), 0))</f>
        <v>l</v>
      </c>
      <c r="BG11" s="95"/>
      <c r="BI11" s="137" t="str">
        <f t="shared" si="1"/>
        <v>"x": { commit: "ㄌ" }</v>
      </c>
      <c r="BK11" s="118">
        <f t="shared" si="2"/>
        <v>8</v>
      </c>
      <c r="BL11" s="138" t="str">
        <f t="shared" si="3"/>
        <v>- xform/l/x/</v>
      </c>
      <c r="BN11" s="138" t="str">
        <f t="shared" si="4"/>
        <v>- xform/x/ㄌ/</v>
      </c>
    </row>
    <row r="12" spans="1:66" s="103" customFormat="1" ht="45" customHeight="1">
      <c r="A12" s="115"/>
      <c r="B12" s="115"/>
      <c r="C12" s="115"/>
      <c r="D12" s="115"/>
      <c r="E12" s="347"/>
      <c r="F12" s="120"/>
      <c r="G12" s="121"/>
      <c r="H12" s="347"/>
      <c r="I12" s="120"/>
      <c r="J12" s="121"/>
      <c r="K12" s="347"/>
      <c r="L12" s="120"/>
      <c r="M12" s="121"/>
      <c r="N12" s="347"/>
      <c r="O12" s="120"/>
      <c r="P12" s="121"/>
      <c r="Q12" s="347"/>
      <c r="R12" s="120"/>
      <c r="S12" s="121"/>
      <c r="T12" s="347"/>
      <c r="U12" s="120"/>
      <c r="V12" s="121"/>
      <c r="W12" s="353" t="str">
        <f ca="1">AM19</f>
        <v>ㄚㄇ</v>
      </c>
      <c r="X12" s="356"/>
      <c r="Y12" s="357" t="str">
        <f ca="1">AM20</f>
        <v>am</v>
      </c>
      <c r="Z12" s="353" t="str">
        <f ca="1">AJ19</f>
        <v>ㆥ</v>
      </c>
      <c r="AA12" s="128"/>
      <c r="AB12" s="357" t="str">
        <f ca="1">AJ20</f>
        <v>enn</v>
      </c>
      <c r="AC12" s="353"/>
      <c r="AD12" s="128"/>
      <c r="AE12" s="129"/>
      <c r="AF12" s="353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A12" s="136">
        <f t="shared" si="0"/>
        <v>9</v>
      </c>
      <c r="BB12" s="71" t="str">
        <f>注音編碼對照表!C15</f>
        <v>Y</v>
      </c>
      <c r="BC12" s="351" t="str" cm="1">
        <f t="array" ref="BC12" xml:space="preserve"> INDEX( 注音編碼對照表[注音符號], MATCH(TRUE, EXACT(注音符號按鍵!$BB12, 注音編碼對照表[鍵盤按鍵]), 0))</f>
        <v>ㄐ</v>
      </c>
      <c r="BD12" s="352" t="str" cm="1">
        <f t="array" ref="BD12" xml:space="preserve"> INDEX( 注音編碼對照表[台語ㄅㄆㄇ], MATCH(TRUE, EXACT(注音符號按鍵!$BB12, 注音編碼對照表[鍵盤按鍵]), 0))</f>
        <v>ㄐ</v>
      </c>
      <c r="BE12" s="349" t="str" cm="1">
        <f t="array" ref="BE12" xml:space="preserve"> INDEX( 注音編碼對照表[國際音標], MATCH(TRUE, EXACT(注音符號按鍵!$BB12, 注音編碼對照表[鍵盤按鍵]), 0))</f>
        <v>ʨ</v>
      </c>
      <c r="BF12" s="350" t="str" cm="1">
        <f t="array" ref="BF12" xml:space="preserve"> INDEX( 注音編碼對照表[台語音標], MATCH(TRUE, EXACT(注音符號按鍵!$BB12, 注音編碼對照表[鍵盤按鍵]), 0))</f>
        <v>zi-</v>
      </c>
      <c r="BG12" s="95"/>
      <c r="BI12" s="137" t="str">
        <f t="shared" si="1"/>
        <v>"Y": { commit: "ㄐ" }</v>
      </c>
      <c r="BK12" s="118">
        <f t="shared" si="2"/>
        <v>9</v>
      </c>
      <c r="BL12" s="138" t="str">
        <f t="shared" si="3"/>
        <v>- xform/ʨ/Y/</v>
      </c>
      <c r="BN12" s="138" t="str">
        <f t="shared" si="4"/>
        <v>- xform/Y/ㄐ/</v>
      </c>
    </row>
    <row r="13" spans="1:66" ht="45" customHeight="1" thickBot="1">
      <c r="A13" s="130"/>
      <c r="B13" s="130"/>
      <c r="C13" s="130"/>
      <c r="D13" s="130"/>
      <c r="E13" s="348"/>
      <c r="F13" s="131"/>
      <c r="G13" s="132"/>
      <c r="H13" s="348" t="str">
        <f ca="1">K19</f>
        <v>ㄌ</v>
      </c>
      <c r="I13" s="131"/>
      <c r="J13" s="132" t="s">
        <v>321</v>
      </c>
      <c r="K13" s="348" t="str">
        <f ca="1">T19</f>
        <v>ㄏ</v>
      </c>
      <c r="L13" s="131"/>
      <c r="M13" s="132" t="str">
        <f ca="1">T20</f>
        <v>h</v>
      </c>
      <c r="N13" s="348"/>
      <c r="O13" s="131"/>
      <c r="P13" s="132"/>
      <c r="Q13" s="348" t="str">
        <f ca="1">N19</f>
        <v>ㆢ</v>
      </c>
      <c r="R13" s="131"/>
      <c r="S13" s="132" t="str">
        <f ca="1">N20</f>
        <v>ji-</v>
      </c>
      <c r="T13" s="348" t="str">
        <f ca="1">O19</f>
        <v>ㄒ</v>
      </c>
      <c r="U13" s="131"/>
      <c r="V13" s="132" t="str">
        <f ca="1">O20</f>
        <v>si-</v>
      </c>
      <c r="W13" s="354" t="str">
        <f ca="1">AQ19</f>
        <v>ㄇ</v>
      </c>
      <c r="X13" s="134"/>
      <c r="Y13" s="135" t="str">
        <f ca="1">AQ20</f>
        <v>-m</v>
      </c>
      <c r="Z13" s="354" t="str">
        <f ca="1">Z19</f>
        <v>ㆤ</v>
      </c>
      <c r="AA13" s="134"/>
      <c r="AB13" s="135" t="str">
        <f ca="1">Z20</f>
        <v>e</v>
      </c>
      <c r="AC13" s="354" t="str">
        <f ca="1">AR19</f>
        <v></v>
      </c>
      <c r="AD13" s="134"/>
      <c r="AE13" s="135" t="str">
        <f ca="1">AR20</f>
        <v>-nn</v>
      </c>
      <c r="AF13" s="354" t="str">
        <f ca="1">AO19</f>
        <v>ㄥ</v>
      </c>
      <c r="AG13" s="134"/>
      <c r="AH13" s="135" t="str">
        <f ca="1">AO20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A13" s="136">
        <f t="shared" si="0"/>
        <v>10</v>
      </c>
      <c r="BB13" s="71" t="str">
        <f>注音編碼對照表!C16</f>
        <v>H</v>
      </c>
      <c r="BC13" s="351" t="str" cm="1">
        <f t="array" ref="BC13" xml:space="preserve"> INDEX( 注音編碼對照表[注音符號], MATCH(TRUE, EXACT(注音符號按鍵!$BB13, 注音編碼對照表[鍵盤按鍵]), 0))</f>
        <v>ㄑ</v>
      </c>
      <c r="BD13" s="352" t="str" cm="1">
        <f t="array" ref="BD13" xml:space="preserve"> INDEX( 注音編碼對照表[台語ㄅㄆㄇ], MATCH(TRUE, EXACT(注音符號按鍵!$BB13, 注音編碼對照表[鍵盤按鍵]), 0))</f>
        <v>ㄑ</v>
      </c>
      <c r="BE13" s="349" t="str" cm="1">
        <f t="array" ref="BE13" xml:space="preserve"> INDEX( 注音編碼對照表[國際音標], MATCH(TRUE, EXACT(注音符號按鍵!$BB13, 注音編碼對照表[鍵盤按鍵]), 0))</f>
        <v>ʨʰ</v>
      </c>
      <c r="BF13" s="350" t="str" cm="1">
        <f t="array" ref="BF13" xml:space="preserve"> INDEX( 注音編碼對照表[台語音標], MATCH(TRUE, EXACT(注音符號按鍵!$BB13, 注音編碼對照表[鍵盤按鍵]), 0))</f>
        <v>ci-</v>
      </c>
      <c r="BG13" s="95"/>
      <c r="BI13" s="137" t="str">
        <f t="shared" si="1"/>
        <v>"H": { commit: "ㄑ" }</v>
      </c>
      <c r="BK13" s="113">
        <f t="shared" si="2"/>
        <v>10</v>
      </c>
      <c r="BL13" s="138" t="str">
        <f t="shared" si="3"/>
        <v>- xform/ʨʰ/H/</v>
      </c>
      <c r="BN13" s="138" t="str">
        <f t="shared" si="4"/>
        <v>- xform/H/ㄑ/</v>
      </c>
    </row>
    <row r="14" spans="1:66" ht="45" customHeight="1">
      <c r="BA14" s="136">
        <f t="shared" si="0"/>
        <v>11</v>
      </c>
      <c r="BB14" s="71" t="str">
        <f>注音編碼對照表!C17</f>
        <v>B</v>
      </c>
      <c r="BC14" s="351" t="str" cm="1">
        <f t="array" ref="BC14" xml:space="preserve"> INDEX( 注音編碼對照表[注音符號], MATCH(TRUE, EXACT(注音符號按鍵!$BB14, 注音編碼對照表[鍵盤按鍵]), 0))</f>
        <v>ㆢ</v>
      </c>
      <c r="BD14" s="352" t="str" cm="1">
        <f t="array" ref="BD14" xml:space="preserve"> INDEX( 注音編碼對照表[台語ㄅㄆㄇ], MATCH(TRUE, EXACT(注音符號按鍵!$BB14, 注音編碼對照表[鍵盤按鍵]), 0))</f>
        <v>ㆢ</v>
      </c>
      <c r="BE14" s="349" t="str" cm="1">
        <f t="array" ref="BE14" xml:space="preserve"> INDEX( 注音編碼對照表[國際音標], MATCH(TRUE, EXACT(注音符號按鍵!$BB14, 注音編碼對照表[鍵盤按鍵]), 0))</f>
        <v>ʥ</v>
      </c>
      <c r="BF14" s="350" t="str" cm="1">
        <f t="array" ref="BF14" xml:space="preserve"> INDEX( 注音編碼對照表[台語音標], MATCH(TRUE, EXACT(注音符號按鍵!$BB14, 注音編碼對照表[鍵盤按鍵]), 0))</f>
        <v>ji-</v>
      </c>
      <c r="BG14" s="95"/>
      <c r="BI14" s="137" t="str">
        <f t="shared" si="1"/>
        <v>"B": { commit: "ㆢ" }</v>
      </c>
      <c r="BK14" s="113">
        <f t="shared" si="2"/>
        <v>11</v>
      </c>
      <c r="BL14" s="138" t="str">
        <f t="shared" si="3"/>
        <v>- xform/ʥ/B/</v>
      </c>
      <c r="BN14" s="138" t="str">
        <f t="shared" si="4"/>
        <v>- xform/B/ㆢ/</v>
      </c>
    </row>
    <row r="15" spans="1:66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36">
        <f t="shared" si="0"/>
        <v>12</v>
      </c>
      <c r="BB15" s="71" t="str">
        <f>注音編碼對照表!C18</f>
        <v>N</v>
      </c>
      <c r="BC15" s="351" t="str" cm="1">
        <f t="array" ref="BC15" xml:space="preserve"> INDEX( 注音編碼對照表[注音符號], MATCH(TRUE, EXACT(注音符號按鍵!$BB15, 注音編碼對照表[鍵盤按鍵]), 0))</f>
        <v>ㄒ</v>
      </c>
      <c r="BD15" s="352" t="str" cm="1">
        <f t="array" ref="BD15" xml:space="preserve"> INDEX( 注音編碼對照表[台語ㄅㄆㄇ], MATCH(TRUE, EXACT(注音符號按鍵!$BB15, 注音編碼對照表[鍵盤按鍵]), 0))</f>
        <v>ㄒ</v>
      </c>
      <c r="BE15" s="349" t="str" cm="1">
        <f t="array" ref="BE15" xml:space="preserve"> INDEX( 注音編碼對照表[國際音標], MATCH(TRUE, EXACT(注音符號按鍵!$BB15, 注音編碼對照表[鍵盤按鍵]), 0))</f>
        <v>ɕ</v>
      </c>
      <c r="BF15" s="350" t="str" cm="1">
        <f t="array" ref="BF15" xml:space="preserve"> INDEX( 注音編碼對照表[台語音標], MATCH(TRUE, EXACT(注音符號按鍵!$BB15, 注音編碼對照表[鍵盤按鍵]), 0))</f>
        <v>si-</v>
      </c>
      <c r="BG15" s="95"/>
      <c r="BI15" s="137" t="str">
        <f t="shared" si="1"/>
        <v>"N": { commit: "ㄒ" }</v>
      </c>
      <c r="BK15" s="140">
        <f t="shared" si="2"/>
        <v>12</v>
      </c>
      <c r="BL15" s="138" t="str">
        <f t="shared" si="3"/>
        <v>- xform/ɕ/N/</v>
      </c>
      <c r="BN15" s="138" t="str">
        <f t="shared" si="4"/>
        <v>- xform/N/ㄒ/</v>
      </c>
    </row>
    <row r="16" spans="1:66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03"/>
      <c r="AZ16" s="103"/>
      <c r="BA16" s="136">
        <f t="shared" si="0"/>
        <v>13</v>
      </c>
      <c r="BB16" s="71" t="str">
        <f>注音編碼對照表!C19</f>
        <v>e</v>
      </c>
      <c r="BC16" s="351" t="str" cm="1">
        <f t="array" ref="BC16" xml:space="preserve"> INDEX( 注音編碼對照表[注音符號], MATCH(TRUE, EXACT(注音符號按鍵!$BB16, 注音編碼對照表[鍵盤按鍵]), 0))</f>
        <v>ㄍ</v>
      </c>
      <c r="BD16" s="352" t="str" cm="1">
        <f t="array" ref="BD16" xml:space="preserve"> INDEX( 注音編碼對照表[台語ㄅㄆㄇ], MATCH(TRUE, EXACT(注音符號按鍵!$BB16, 注音編碼對照表[鍵盤按鍵]), 0))</f>
        <v>ㄍ</v>
      </c>
      <c r="BE16" s="349" t="str" cm="1">
        <f t="array" ref="BE16" xml:space="preserve"> INDEX( 注音編碼對照表[國際音標], MATCH(TRUE, EXACT(注音符號按鍵!$BB16, 注音編碼對照表[鍵盤按鍵]), 0))</f>
        <v>k</v>
      </c>
      <c r="BF16" s="350" t="str" cm="1">
        <f t="array" ref="BF16" xml:space="preserve"> INDEX( 注音編碼對照表[台語音標], MATCH(TRUE, EXACT(注音符號按鍵!$BB16, 注音編碼對照表[鍵盤按鍵]), 0))</f>
        <v>k</v>
      </c>
      <c r="BG16" s="95"/>
      <c r="BI16" s="137" t="str">
        <f t="shared" si="1"/>
        <v>"e": { commit: "ㄍ" }</v>
      </c>
      <c r="BK16" s="106">
        <f t="shared" si="2"/>
        <v>13</v>
      </c>
      <c r="BL16" s="138" t="str">
        <f t="shared" si="3"/>
        <v>- xform/k/e/</v>
      </c>
      <c r="BN16" s="138" t="str">
        <f t="shared" si="4"/>
        <v>- xform/e/ㄍ/</v>
      </c>
    </row>
    <row r="17" spans="1:80" s="105" customFormat="1" ht="45" customHeight="1">
      <c r="A17" s="147"/>
      <c r="B17" s="148" t="s">
        <v>19</v>
      </c>
      <c r="C17" s="149"/>
      <c r="D17" s="150" t="str" cm="1">
        <f t="array" aca="1" ref="D17" ca="1">INDIRECT(ADDRESS(ROW($BB$4)+D$16-1, COLUMN($BB$4)))</f>
        <v>1</v>
      </c>
      <c r="E17" s="150" t="str" cm="1">
        <f t="array" aca="1" ref="E17" ca="1">INDIRECT(ADDRESS(ROW($BB$4)+E$16-1, COLUMN($BB$4)))</f>
        <v>q</v>
      </c>
      <c r="F17" s="150" t="str" cm="1">
        <f t="array" aca="1" ref="F17" ca="1">INDIRECT(ADDRESS(ROW($BB$4)+F$16-1, COLUMN($BB$4)))</f>
        <v>!</v>
      </c>
      <c r="G17" s="150" t="str" cm="1">
        <f t="array" aca="1" ref="G17" ca="1">INDIRECT(ADDRESS(ROW($BB$4)+G$16-1, COLUMN($BB$4)))</f>
        <v>a</v>
      </c>
      <c r="H17" s="150" t="str" cm="1">
        <f t="array" aca="1" ref="H17" ca="1">INDIRECT(ADDRESS(ROW($BB$4)+H$16-1, COLUMN($BB$4)))</f>
        <v>2</v>
      </c>
      <c r="I17" s="150" t="str" cm="1">
        <f t="array" aca="1" ref="I17" ca="1">INDIRECT(ADDRESS(ROW($BB$4)+I$16-1, COLUMN($BB$4)))</f>
        <v>w</v>
      </c>
      <c r="J17" s="150" t="str" cm="1">
        <f t="array" aca="1" ref="J17" ca="1">INDIRECT(ADDRESS(ROW($BB$4)+J$16-1, COLUMN($BB$4)))</f>
        <v>s</v>
      </c>
      <c r="K17" s="150" t="str" cm="1">
        <f t="array" aca="1" ref="K17" ca="1">INDIRECT(ADDRESS(ROW($BB$4)+K$16-1, COLUMN($BB$4)))</f>
        <v>x</v>
      </c>
      <c r="L17" s="150" t="str" cm="1">
        <f t="array" aca="1" ref="L17" ca="1">INDIRECT(ADDRESS(ROW($BB$4)+L$16-1, COLUMN($BB$4)))</f>
        <v>Y</v>
      </c>
      <c r="M17" s="150" t="str" cm="1">
        <f t="array" aca="1" ref="M17" ca="1">INDIRECT(ADDRESS(ROW($BB$4)+M$16-1, COLUMN($BB$4)))</f>
        <v>H</v>
      </c>
      <c r="N17" s="150" t="str" cm="1">
        <f t="array" aca="1" ref="N17" ca="1">INDIRECT(ADDRESS(ROW($BB$4)+N$16-1, COLUMN($BB$4)))</f>
        <v>B</v>
      </c>
      <c r="O17" s="150" t="str" cm="1">
        <f t="array" aca="1" ref="O17" ca="1">INDIRECT(ADDRESS(ROW($BB$4)+O$16-1, COLUMN($BB$4)))</f>
        <v>N</v>
      </c>
      <c r="P17" s="150" t="str" cm="1">
        <f t="array" aca="1" ref="P17" ca="1">INDIRECT(ADDRESS(ROW($BB$4)+P$16-1, COLUMN($BB$4)))</f>
        <v>e</v>
      </c>
      <c r="Q17" s="150" t="str" cm="1">
        <f t="array" aca="1" ref="Q17" ca="1">INDIRECT(ADDRESS(ROW($BB$4)+Q$16-1, COLUMN($BB$4)))</f>
        <v>d</v>
      </c>
      <c r="R17" s="150" t="str" cm="1">
        <f t="array" aca="1" ref="R17" ca="1">INDIRECT(ADDRESS(ROW($BB$4)+R$16-1, COLUMN($BB$4)))</f>
        <v>E</v>
      </c>
      <c r="S17" s="150" t="str" cm="1">
        <f t="array" aca="1" ref="S17" ca="1">INDIRECT(ADDRESS(ROW($BB$4)+S$16-1, COLUMN($BB$4)))</f>
        <v>g</v>
      </c>
      <c r="T17" s="150" t="str" cm="1">
        <f t="array" aca="1" ref="T17" ca="1">INDIRECT(ADDRESS(ROW($BB$4)+T$16-1, COLUMN($BB$4)))</f>
        <v>c</v>
      </c>
      <c r="U17" s="150" t="str" cm="1">
        <f t="array" aca="1" ref="U17" ca="1">INDIRECT(ADDRESS(ROW($BB$4)+U$16-1, COLUMN($BB$4)))</f>
        <v>u</v>
      </c>
      <c r="V17" s="150" t="str" cm="1">
        <f t="array" aca="1" ref="V17" ca="1">INDIRECT(ADDRESS(ROW($BB$4)+V$16-1, COLUMN($BB$4)))</f>
        <v>j</v>
      </c>
      <c r="W17" s="150" t="str" cm="1">
        <f t="array" aca="1" ref="W17" ca="1">INDIRECT(ADDRESS(ROW($BB$4)+W$16-1, COLUMN($BB$4)))</f>
        <v>8</v>
      </c>
      <c r="X17" s="150" t="str" cm="1">
        <f t="array" aca="1" ref="X17" ca="1">INDIRECT(ADDRESS(ROW($BB$4)+X$16-1, COLUMN($BB$4)))</f>
        <v>i</v>
      </c>
      <c r="Y17" s="150" t="str" cm="1">
        <f t="array" aca="1" ref="Y17" ca="1">INDIRECT(ADDRESS(ROW($BB$4)+Y$16-1, COLUMN($BB$4)))</f>
        <v>k</v>
      </c>
      <c r="Z17" s="150" t="str" cm="1">
        <f t="array" aca="1" ref="Z17" ca="1">INDIRECT(ADDRESS(ROW($BB$4)+Z$16-1, COLUMN($BB$4)))</f>
        <v>,</v>
      </c>
      <c r="AA17" s="150" t="str" cm="1">
        <f t="array" aca="1" ref="AA17" ca="1">INDIRECT(ADDRESS(ROW($BB$4)+AA$16-1, COLUMN($BB$4)))</f>
        <v>9</v>
      </c>
      <c r="AB17" s="150" t="str" cm="1">
        <f t="array" aca="1" ref="AB17" ca="1">INDIRECT(ADDRESS(ROW($BB$4)+AB$16-1, COLUMN($BB$4)))</f>
        <v>l</v>
      </c>
      <c r="AC17" s="150" t="str" cm="1">
        <f t="array" aca="1" ref="AC17" ca="1">INDIRECT(ADDRESS(ROW($BB$4)+AC$16-1, COLUMN($BB$4)))</f>
        <v>0</v>
      </c>
      <c r="AD17" s="150" t="str" cm="1">
        <f t="array" aca="1" ref="AD17" ca="1">INDIRECT(ADDRESS(ROW($BB$4)+AD$16-1, COLUMN($BB$4)))</f>
        <v>;</v>
      </c>
      <c r="AE17" s="150" t="str" cm="1">
        <f t="array" aca="1" ref="AE17" ca="1">INDIRECT(ADDRESS(ROW($BB$4)+AE$16-1, COLUMN($BB$4)))</f>
        <v>-</v>
      </c>
      <c r="AF17" s="150" t="str" cm="1">
        <f t="array" aca="1" ref="AF17" ca="1">INDIRECT(ADDRESS(ROW($BB$4)+AF$16-1, COLUMN($BB$4)))</f>
        <v>U</v>
      </c>
      <c r="AG17" s="150" t="str" cm="1">
        <f t="array" aca="1" ref="AG17" ca="1">INDIRECT(ADDRESS(ROW($BB$4)+AG$16-1, COLUMN($BB$4)))</f>
        <v>J</v>
      </c>
      <c r="AH17" s="150" t="str" cm="1">
        <f t="array" aca="1" ref="AH17" ca="1">INDIRECT(ADDRESS(ROW($BB$4)+AH$16-1, COLUMN($BB$4)))</f>
        <v>*</v>
      </c>
      <c r="AI17" s="150" t="str" cm="1">
        <f t="array" aca="1" ref="AI17" ca="1">INDIRECT(ADDRESS(ROW($BB$4)+AI$16-1, COLUMN($BB$4)))</f>
        <v>I</v>
      </c>
      <c r="AJ17" s="150" t="str" cm="1">
        <f t="array" aca="1" ref="AJ17" ca="1">INDIRECT(ADDRESS(ROW($BB$4)+AJ$16-1, COLUMN($BB$4)))</f>
        <v>&lt;</v>
      </c>
      <c r="AK17" s="150" t="str" cm="1">
        <f t="array" aca="1" ref="AK17" ca="1">INDIRECT(ADDRESS(ROW($BB$4)+AK$16-1, COLUMN($BB$4)))</f>
        <v>(</v>
      </c>
      <c r="AL17" s="150" t="str" cm="1">
        <f t="array" aca="1" ref="AL17" ca="1">INDIRECT(ADDRESS(ROW($BB$4)+AL$16-1, COLUMN($BB$4)))</f>
        <v>L</v>
      </c>
      <c r="AM17" s="150" t="str" cm="1">
        <f t="array" aca="1" ref="AM17" ca="1">INDIRECT(ADDRESS(ROW($BB$4)+AM$16-1, COLUMN($BB$4)))</f>
        <v>M</v>
      </c>
      <c r="AN17" s="150" t="str" cm="1">
        <f t="array" aca="1" ref="AN17" ca="1">INDIRECT(ADDRESS(ROW($BB$4)+AN$16-1, COLUMN($BB$4)))</f>
        <v>o</v>
      </c>
      <c r="AO17" s="150" t="str" cm="1">
        <f t="array" aca="1" ref="AO17" ca="1">INDIRECT(ADDRESS(ROW($BB$4)+AO$16-1, COLUMN($BB$4)))</f>
        <v>/</v>
      </c>
      <c r="AP17" s="150" t="str" cm="1">
        <f t="array" aca="1" ref="AP17" ca="1">INDIRECT(ADDRESS(ROW($BB$4)+AP$16-1, COLUMN($BB$4)))</f>
        <v>p</v>
      </c>
      <c r="AQ17" s="150" t="str" cm="1">
        <f t="array" aca="1" ref="AQ17" ca="1">INDIRECT(ADDRESS(ROW($BB$4)+AQ$16-1, COLUMN($BB$4)))</f>
        <v>m</v>
      </c>
      <c r="AR17" s="150" t="str" cm="1">
        <f t="array" aca="1" ref="AR17" ca="1">INDIRECT(ADDRESS(ROW($BB$4)+AR$16-1, COLUMN($BB$4)))</f>
        <v>.</v>
      </c>
      <c r="AS17" s="150" t="str" cm="1">
        <f t="array" aca="1" ref="AS17" ca="1">INDIRECT(ADDRESS(ROW($BB$4)+AS$16-1, COLUMN($BB$4)))</f>
        <v xml:space="preserve"> </v>
      </c>
      <c r="AT17" s="150" t="str" cm="1">
        <f t="array" aca="1" ref="AT17" ca="1">INDIRECT(ADDRESS(ROW($BB$4)+AT$16-1, COLUMN($BB$4)))</f>
        <v>4</v>
      </c>
      <c r="AU17" s="150" t="str" cm="1">
        <f t="array" aca="1" ref="AU17" ca="1">INDIRECT(ADDRESS(ROW($BB$4)+AU$16-1, COLUMN($BB$4)))</f>
        <v>3</v>
      </c>
      <c r="AV17" s="150" t="str" cm="1">
        <f t="array" aca="1" ref="AV17" ca="1">INDIRECT(ADDRESS(ROW($BB$4)+AV$16-1, COLUMN($BB$4)))</f>
        <v>6</v>
      </c>
      <c r="AW17" s="150" t="str" cm="1">
        <f t="array" aca="1" ref="AW17" ca="1">INDIRECT(ADDRESS(ROW($BB$4)+AW$16-1, COLUMN($BB$4)))</f>
        <v>5</v>
      </c>
      <c r="AX17" s="150" t="str" cm="1">
        <f t="array" aca="1" ref="AX17" ca="1">INDIRECT(ADDRESS(ROW($BB$4)+AX$16-1, COLUMN($BB$4)))</f>
        <v>7</v>
      </c>
      <c r="AY17" s="103"/>
      <c r="AZ17" s="103"/>
      <c r="BA17" s="136">
        <f t="shared" si="0"/>
        <v>14</v>
      </c>
      <c r="BB17" s="71" t="str">
        <f>注音編碼對照表!C20</f>
        <v>d</v>
      </c>
      <c r="BC17" s="351" t="str" cm="1">
        <f t="array" ref="BC17" xml:space="preserve"> INDEX( 注音編碼對照表[注音符號], MATCH(TRUE, EXACT(注音符號按鍵!$BB17, 注音編碼對照表[鍵盤按鍵]), 0))</f>
        <v>ㄎ</v>
      </c>
      <c r="BD17" s="352" t="str" cm="1">
        <f t="array" ref="BD17" xml:space="preserve"> INDEX( 注音編碼對照表[台語ㄅㄆㄇ], MATCH(TRUE, EXACT(注音符號按鍵!$BB17, 注音編碼對照表[鍵盤按鍵]), 0))</f>
        <v>ㄎ</v>
      </c>
      <c r="BE17" s="349" t="str" cm="1">
        <f t="array" ref="BE17" xml:space="preserve"> INDEX( 注音編碼對照表[國際音標], MATCH(TRUE, EXACT(注音符號按鍵!$BB17, 注音編碼對照表[鍵盤按鍵]), 0))</f>
        <v>kʰ</v>
      </c>
      <c r="BF17" s="350" t="str" cm="1">
        <f t="array" ref="BF17" xml:space="preserve"> INDEX( 注音編碼對照表[台語音標], MATCH(TRUE, EXACT(注音符號按鍵!$BB17, 注音編碼對照表[鍵盤按鍵]), 0))</f>
        <v>kh</v>
      </c>
      <c r="BG17" s="95"/>
      <c r="BI17" s="137" t="str">
        <f t="shared" si="1"/>
        <v>"d": { commit: "ㄎ" }</v>
      </c>
      <c r="BK17" s="106">
        <f t="shared" si="2"/>
        <v>14</v>
      </c>
      <c r="BL17" s="138" t="str">
        <f t="shared" si="3"/>
        <v>- xform/kʰ/d/</v>
      </c>
      <c r="BN17" s="138" t="str">
        <f t="shared" si="4"/>
        <v>- xform/d/ㄎ/</v>
      </c>
    </row>
    <row r="18" spans="1:80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INDEX($BC$4:$BC$55, MATCH(TRUE, EXACT(D$17, $BB$4:$BB$55), 0))</f>
        <v>ㄅ</v>
      </c>
      <c r="E18" s="186" t="str" cm="1">
        <f t="array" aca="1" ref="E18" ca="1" xml:space="preserve"> INDEX($BC$4:$BC$55, MATCH(TRUE, EXACT(E$17, $BB$4:$BB$55), 0))</f>
        <v>ㄆ</v>
      </c>
      <c r="F18" s="186" t="str" cm="1">
        <f t="array" aca="1" ref="F18" ca="1" xml:space="preserve"> INDEX($BC$4:$BC$55, MATCH(TRUE, EXACT(F$17, $BB$4:$BB$55), 0))</f>
        <v>ㆠ</v>
      </c>
      <c r="G18" s="186" t="str" cm="1">
        <f t="array" aca="1" ref="G18" ca="1" xml:space="preserve"> INDEX($BC$4:$BC$55, MATCH(TRUE, EXACT(G$17, $BB$4:$BB$55), 0))</f>
        <v>ㄇ</v>
      </c>
      <c r="H18" s="186" t="str" cm="1">
        <f t="array" aca="1" ref="H18" ca="1" xml:space="preserve"> INDEX($BC$4:$BC$55, MATCH(TRUE, EXACT(H$17, $BB$4:$BB$55), 0))</f>
        <v>ㄉ</v>
      </c>
      <c r="I18" s="186" t="str" cm="1">
        <f t="array" aca="1" ref="I18" ca="1" xml:space="preserve"> INDEX($BC$4:$BC$55, MATCH(TRUE, EXACT(I$17, $BB$4:$BB$55), 0))</f>
        <v>ㄊ</v>
      </c>
      <c r="J18" s="186" t="str" cm="1">
        <f t="array" aca="1" ref="J18" ca="1" xml:space="preserve"> INDEX($BC$4:$BC$55, MATCH(TRUE, EXACT(J$17, $BB$4:$BB$55), 0))</f>
        <v>ㄋ</v>
      </c>
      <c r="K18" s="186" t="str" cm="1">
        <f t="array" aca="1" ref="K18" ca="1" xml:space="preserve"> INDEX($BC$4:$BC$55, MATCH(TRUE, EXACT(K$17, $BB$4:$BB$55), 0))</f>
        <v>ㄌ</v>
      </c>
      <c r="L18" s="186" t="str" cm="1">
        <f t="array" aca="1" ref="L18" ca="1" xml:space="preserve"> INDEX($BC$4:$BC$55, MATCH(TRUE, EXACT(L$17, $BB$4:$BB$55), 0))</f>
        <v>ㄐ</v>
      </c>
      <c r="M18" s="186" t="str" cm="1">
        <f t="array" aca="1" ref="M18" ca="1" xml:space="preserve"> INDEX($BC$4:$BC$55, MATCH(TRUE, EXACT(M$17, $BB$4:$BB$55), 0))</f>
        <v>ㄑ</v>
      </c>
      <c r="N18" s="186" t="str" cm="1">
        <f t="array" aca="1" ref="N18" ca="1" xml:space="preserve"> INDEX($BC$4:$BC$55, MATCH(TRUE, EXACT(N$17, $BB$4:$BB$55), 0))</f>
        <v>ㆢ</v>
      </c>
      <c r="O18" s="186" t="str" cm="1">
        <f t="array" aca="1" ref="O18" ca="1" xml:space="preserve"> INDEX($BC$4:$BC$55, MATCH(TRUE, EXACT(O$17, $BB$4:$BB$55), 0))</f>
        <v>ㄒ</v>
      </c>
      <c r="P18" s="186" t="str" cm="1">
        <f t="array" aca="1" ref="P18" ca="1" xml:space="preserve"> INDEX($BC$4:$BC$55, MATCH(TRUE, EXACT(P$17, $BB$4:$BB$55), 0))</f>
        <v>ㄍ</v>
      </c>
      <c r="Q18" s="186" t="str" cm="1">
        <f t="array" aca="1" ref="Q18" ca="1" xml:space="preserve"> INDEX($BC$4:$BC$55, MATCH(TRUE, EXACT(Q$17, $BB$4:$BB$55), 0))</f>
        <v>ㄎ</v>
      </c>
      <c r="R18" s="186" t="str" cm="1">
        <f t="array" aca="1" ref="R18" ca="1" xml:space="preserve"> INDEX($BC$4:$BC$55, MATCH(TRUE, EXACT(R$17, $BB$4:$BB$55), 0))</f>
        <v>ㆣ</v>
      </c>
      <c r="S18" s="186" t="str" cm="1">
        <f t="array" aca="1" ref="S18" ca="1" xml:space="preserve"> INDEX($BC$4:$BC$55, MATCH(TRUE, EXACT(S$17, $BB$4:$BB$55), 0))</f>
        <v>ㄫ</v>
      </c>
      <c r="T18" s="186" t="str" cm="1">
        <f t="array" aca="1" ref="T18" ca="1" xml:space="preserve"> INDEX($BC$4:$BC$55, MATCH(TRUE, EXACT(T$17, $BB$4:$BB$55), 0))</f>
        <v>ㄏ</v>
      </c>
      <c r="U18" s="186" t="str" cm="1">
        <f t="array" aca="1" ref="U18" ca="1" xml:space="preserve"> INDEX($BC$4:$BC$55, MATCH(TRUE, EXACT(U$17, $BB$4:$BB$55), 0))</f>
        <v>ㄧ</v>
      </c>
      <c r="V18" s="186" t="str" cm="1">
        <f t="array" aca="1" ref="V18" ca="1" xml:space="preserve"> INDEX($BC$4:$BC$55, MATCH(TRUE, EXACT(V$17, $BB$4:$BB$55), 0))</f>
        <v>ㄨ</v>
      </c>
      <c r="W18" s="186" t="str" cm="1">
        <f t="array" aca="1" ref="W18" ca="1" xml:space="preserve"> INDEX($BC$4:$BC$55, MATCH(TRUE, EXACT(W$17, $BB$4:$BB$55), 0))</f>
        <v>ㄚ</v>
      </c>
      <c r="X18" s="186" t="str" cm="1">
        <f t="array" aca="1" ref="X18" ca="1" xml:space="preserve"> INDEX($BC$4:$BC$55, MATCH(TRUE, EXACT(X$17, $BB$4:$BB$55), 0))</f>
        <v>ㆦ</v>
      </c>
      <c r="Y18" s="186" t="str" cm="1">
        <f t="array" aca="1" ref="Y18" ca="1" xml:space="preserve"> INDEX($BC$4:$BC$55, MATCH(TRUE, EXACT(Y$17, $BB$4:$BB$55), 0))</f>
        <v>ㄜ</v>
      </c>
      <c r="Z18" s="186" t="str" cm="1">
        <f t="array" aca="1" ref="Z18" ca="1" xml:space="preserve"> INDEX($BC$4:$BC$55, MATCH(TRUE, EXACT(Z$17, $BB$4:$BB$55), 0))</f>
        <v>ㆤ</v>
      </c>
      <c r="AA18" s="186" t="str" cm="1">
        <f t="array" aca="1" ref="AA18" ca="1" xml:space="preserve"> INDEX($BC$4:$BC$55, MATCH(TRUE, EXACT(AA$17, $BB$4:$BB$55), 0))</f>
        <v>ㄞ</v>
      </c>
      <c r="AB18" s="186" t="str" cm="1">
        <f t="array" aca="1" ref="AB18" ca="1" xml:space="preserve"> INDEX($BC$4:$BC$55, MATCH(TRUE, EXACT(AB$17, $BB$4:$BB$55), 0))</f>
        <v>ㄠ</v>
      </c>
      <c r="AC18" s="186" t="str" cm="1">
        <f t="array" aca="1" ref="AC18" ca="1" xml:space="preserve"> INDEX($BC$4:$BC$55, MATCH(TRUE, EXACT(AC$17, $BB$4:$BB$55), 0))</f>
        <v>ㄢ</v>
      </c>
      <c r="AD18" s="186" t="str" cm="1">
        <f t="array" aca="1" ref="AD18" ca="1" xml:space="preserve"> INDEX($BC$4:$BC$55, MATCH(TRUE, EXACT(AD$17, $BB$4:$BB$55), 0))</f>
        <v>ㄤ</v>
      </c>
      <c r="AE18" s="186" t="str" cm="1">
        <f t="array" aca="1" ref="AE18" ca="1" xml:space="preserve"> INDEX($BC$4:$BC$55, MATCH(TRUE, EXACT(AE$17, $BB$4:$BB$55), 0))</f>
        <v>ㆨ</v>
      </c>
      <c r="AF18" s="186" t="str" cm="1">
        <f t="array" aca="1" ref="AF18" ca="1" xml:space="preserve"> INDEX($BC$4:$BC$55, MATCH(TRUE, EXACT(AF$17, $BB$4:$BB$55), 0))</f>
        <v>ㆪ</v>
      </c>
      <c r="AG18" s="186" t="str" cm="1">
        <f t="array" aca="1" ref="AG18" ca="1" xml:space="preserve"> INDEX($BC$4:$BC$55, MATCH(TRUE, EXACT(AG$17, $BB$4:$BB$55), 0))</f>
        <v>ㆫ</v>
      </c>
      <c r="AH18" s="186" t="str" cm="1">
        <f t="array" aca="1" ref="AH18" ca="1" xml:space="preserve"> INDEX($BC$4:$BC$55, MATCH(TRUE, EXACT(AH$17, $BB$4:$BB$55), 0))</f>
        <v>ㆩ</v>
      </c>
      <c r="AI18" s="186" t="str" cm="1">
        <f t="array" aca="1" ref="AI18" ca="1" xml:space="preserve"> INDEX($BC$4:$BC$55, MATCH(TRUE, EXACT(AI$17, $BB$4:$BB$55), 0))</f>
        <v>ㆧ</v>
      </c>
      <c r="AJ18" s="186" t="str" cm="1">
        <f t="array" aca="1" ref="AJ18" ca="1" xml:space="preserve"> INDEX($BC$4:$BC$55, MATCH(TRUE, EXACT(AJ$17, $BB$4:$BB$55), 0))</f>
        <v>ㆥ</v>
      </c>
      <c r="AK18" s="186" t="str" cm="1">
        <f t="array" aca="1" ref="AK18" ca="1" xml:space="preserve"> INDEX($BC$4:$BC$55, MATCH(TRUE, EXACT(AK$17, $BB$4:$BB$55), 0))</f>
        <v>ㆮ</v>
      </c>
      <c r="AL18" s="186" t="str" cm="1">
        <f t="array" aca="1" ref="AL18" ca="1" xml:space="preserve"> INDEX($BC$4:$BC$55, MATCH(TRUE, EXACT(AL$17, $BB$4:$BB$55), 0))</f>
        <v>ㆯ</v>
      </c>
      <c r="AM18" s="186" t="str" cm="1">
        <f t="array" aca="1" ref="AM18" ca="1" xml:space="preserve"> INDEX($BC$4:$BC$55, MATCH(TRUE, EXACT(AM$17, $BB$4:$BB$55), 0))</f>
        <v>ㆰ</v>
      </c>
      <c r="AN18" s="186" t="str" cm="1">
        <f t="array" aca="1" ref="AN18" ca="1" xml:space="preserve"> INDEX($BC$4:$BC$55, MATCH(TRUE, EXACT(AN$17, $BB$4:$BB$55), 0))</f>
        <v>ㆲ</v>
      </c>
      <c r="AO18" s="186" t="str" cm="1">
        <f t="array" aca="1" ref="AO18" ca="1" xml:space="preserve"> INDEX($BC$4:$BC$55, MATCH(TRUE, EXACT(AO$17, $BB$4:$BB$55), 0))</f>
        <v>ㆭ</v>
      </c>
      <c r="AP18" s="186" t="str" cm="1">
        <f t="array" aca="1" ref="AP18" ca="1" xml:space="preserve"> INDEX($BC$4:$BC$55, MATCH(TRUE, EXACT(AP$17, $BB$4:$BB$55), 0))</f>
        <v>ㄣ</v>
      </c>
      <c r="AQ18" s="186" t="str" cm="1">
        <f t="array" aca="1" ref="AQ18" ca="1" xml:space="preserve"> INDEX($BC$4:$BC$55, MATCH(TRUE, EXACT(AQ$17, $BB$4:$BB$55), 0))</f>
        <v>ㆬ</v>
      </c>
      <c r="AR18" s="186" t="str" cm="1">
        <f t="array" aca="1" ref="AR18" ca="1" xml:space="preserve"> INDEX($BC$4:$BC$55, MATCH(TRUE, EXACT(AR$17, $BB$4:$BB$55), 0))</f>
        <v>ㄬ</v>
      </c>
      <c r="AS18" s="186" t="str" cm="1">
        <f t="array" aca="1" ref="AS18" ca="1" xml:space="preserve"> INDEX($BC$4:$BC$55, MATCH(TRUE, EXACT(AS$17, $BB$4:$BB$55), 0))</f>
        <v>ˉ</v>
      </c>
      <c r="AT18" s="186" t="str" cm="1">
        <f t="array" aca="1" ref="AT18" ca="1" xml:space="preserve"> INDEX($BC$4:$BC$55, MATCH(TRUE, EXACT(AT$17, $BB$4:$BB$55), 0))</f>
        <v>ˋ</v>
      </c>
      <c r="AU18" s="186" t="str" cm="1">
        <f t="array" aca="1" ref="AU18" ca="1" xml:space="preserve"> INDEX($BC$4:$BC$55, MATCH(TRUE, EXACT(AU$17, $BB$4:$BB$55), 0))</f>
        <v>˪</v>
      </c>
      <c r="AV18" s="186" t="str" cm="1">
        <f t="array" aca="1" ref="AV18" ca="1" xml:space="preserve"> INDEX($BC$4:$BC$55, MATCH(TRUE, EXACT(AV$17, $BB$4:$BB$55), 0))</f>
        <v>ˊ</v>
      </c>
      <c r="AW18" s="186" t="str" cm="1">
        <f t="array" aca="1" ref="AW18" ca="1" xml:space="preserve"> INDEX($BC$4:$BC$55, MATCH(TRUE, EXACT(AW$17, $BB$4:$BB$55), 0))</f>
        <v>˫</v>
      </c>
      <c r="AX18" s="186" t="str" cm="1">
        <f t="array" aca="1" ref="AX18" ca="1" xml:space="preserve"> INDEX($BC$4:$BC$55, MATCH(TRUE, EXACT(AX$17, $BB$4:$BB$55), 0))</f>
        <v>˙</v>
      </c>
      <c r="AY18" s="103"/>
      <c r="AZ18" s="103"/>
      <c r="BA18" s="136">
        <f t="shared" si="0"/>
        <v>15</v>
      </c>
      <c r="BB18" s="71" t="str">
        <f>注音編碼對照表!C21</f>
        <v>E</v>
      </c>
      <c r="BC18" s="351" t="str" cm="1">
        <f t="array" ref="BC18" xml:space="preserve"> INDEX( 注音編碼對照表[注音符號], MATCH(TRUE, EXACT(注音符號按鍵!$BB18, 注音編碼對照表[鍵盤按鍵]), 0))</f>
        <v>ㆣ</v>
      </c>
      <c r="BD18" s="352" t="str" cm="1">
        <f t="array" ref="BD18" xml:space="preserve"> INDEX( 注音編碼對照表[台語ㄅㄆㄇ], MATCH(TRUE, EXACT(注音符號按鍵!$BB18, 注音編碼對照表[鍵盤按鍵]), 0))</f>
        <v>ㆣ</v>
      </c>
      <c r="BE18" s="349" t="str" cm="1">
        <f t="array" ref="BE18" xml:space="preserve"> INDEX( 注音編碼對照表[國際音標], MATCH(TRUE, EXACT(注音符號按鍵!$BB18, 注音編碼對照表[鍵盤按鍵]), 0))</f>
        <v>g</v>
      </c>
      <c r="BF18" s="350" t="str" cm="1">
        <f t="array" ref="BF18" xml:space="preserve"> INDEX( 注音編碼對照表[台語音標], MATCH(TRUE, EXACT(注音符號按鍵!$BB18, 注音編碼對照表[鍵盤按鍵]), 0))</f>
        <v>g</v>
      </c>
      <c r="BG18" s="95"/>
      <c r="BI18" s="137" t="str">
        <f t="shared" si="1"/>
        <v>"E": { commit: "ㆣ" }</v>
      </c>
      <c r="BK18" s="106">
        <f t="shared" si="2"/>
        <v>15</v>
      </c>
      <c r="BL18" s="138" t="str">
        <f t="shared" si="3"/>
        <v>- xform/g/E/</v>
      </c>
      <c r="BN18" s="138" t="str">
        <f t="shared" si="4"/>
        <v>- xform/E/ㆣ/</v>
      </c>
    </row>
    <row r="19" spans="1:80" s="105" customFormat="1" ht="45" customHeight="1">
      <c r="A19" s="147"/>
      <c r="B19" s="187" t="s">
        <v>591</v>
      </c>
      <c r="C19" s="188"/>
      <c r="D19" s="189" t="str" cm="1">
        <f t="array" aca="1" ref="D19" ca="1" xml:space="preserve"> INDEX($BD$4:$BD$55, MATCH(TRUE, EXACT(D$17, $BB$4:$BB$55), 0))</f>
        <v>ㄅ</v>
      </c>
      <c r="E19" s="189" t="str" cm="1">
        <f t="array" aca="1" ref="E19" ca="1" xml:space="preserve"> INDEX($BD$4:$BD$55, MATCH(TRUE, EXACT(E$17, $BB$4:$BB$55), 0))</f>
        <v>ㄆ</v>
      </c>
      <c r="F19" s="189" t="str" cm="1">
        <f t="array" aca="1" ref="F19" ca="1" xml:space="preserve"> INDEX($BD$4:$BD$55, MATCH(TRUE, EXACT(F$17, $BB$4:$BB$55), 0))</f>
        <v>ㆠ</v>
      </c>
      <c r="G19" s="189" t="str" cm="1">
        <f t="array" aca="1" ref="G19" ca="1" xml:space="preserve"> INDEX($BD$4:$BD$55, MATCH(TRUE, EXACT(G$17, $BB$4:$BB$55), 0))</f>
        <v>ㄇ</v>
      </c>
      <c r="H19" s="189" t="str" cm="1">
        <f t="array" aca="1" ref="H19" ca="1" xml:space="preserve"> INDEX($BD$4:$BD$55, MATCH(TRUE, EXACT(H$17, $BB$4:$BB$55), 0))</f>
        <v>ㄉ</v>
      </c>
      <c r="I19" s="189" t="str" cm="1">
        <f t="array" aca="1" ref="I19" ca="1" xml:space="preserve"> INDEX($BD$4:$BD$55, MATCH(TRUE, EXACT(I$17, $BB$4:$BB$55), 0))</f>
        <v>ㄊ</v>
      </c>
      <c r="J19" s="189" t="str" cm="1">
        <f t="array" aca="1" ref="J19" ca="1" xml:space="preserve"> INDEX($BD$4:$BD$55, MATCH(TRUE, EXACT(J$17, $BB$4:$BB$55), 0))</f>
        <v>ㄋ</v>
      </c>
      <c r="K19" s="189" t="str" cm="1">
        <f t="array" aca="1" ref="K19" ca="1" xml:space="preserve"> INDEX($BD$4:$BD$55, MATCH(TRUE, EXACT(K$17, $BB$4:$BB$55), 0))</f>
        <v>ㄌ</v>
      </c>
      <c r="L19" s="189" t="str" cm="1">
        <f t="array" aca="1" ref="L19" ca="1" xml:space="preserve"> INDEX($BD$4:$BD$55, MATCH(TRUE, EXACT(L$17, $BB$4:$BB$55), 0))</f>
        <v>ㄐ</v>
      </c>
      <c r="M19" s="189" t="str" cm="1">
        <f t="array" aca="1" ref="M19" ca="1" xml:space="preserve"> INDEX($BD$4:$BD$55, MATCH(TRUE, EXACT(M$17, $BB$4:$BB$55), 0))</f>
        <v>ㄑ</v>
      </c>
      <c r="N19" s="189" t="str" cm="1">
        <f t="array" aca="1" ref="N19" ca="1" xml:space="preserve"> INDEX($BD$4:$BD$55, MATCH(TRUE, EXACT(N$17, $BB$4:$BB$55), 0))</f>
        <v>ㆢ</v>
      </c>
      <c r="O19" s="189" t="str" cm="1">
        <f t="array" aca="1" ref="O19" ca="1" xml:space="preserve"> INDEX($BD$4:$BD$55, MATCH(TRUE, EXACT(O$17, $BB$4:$BB$55), 0))</f>
        <v>ㄒ</v>
      </c>
      <c r="P19" s="189" t="str" cm="1">
        <f t="array" aca="1" ref="P19" ca="1" xml:space="preserve"> INDEX($BD$4:$BD$55, MATCH(TRUE, EXACT(P$17, $BB$4:$BB$55), 0))</f>
        <v>ㄍ</v>
      </c>
      <c r="Q19" s="189" t="str" cm="1">
        <f t="array" aca="1" ref="Q19" ca="1" xml:space="preserve"> INDEX($BD$4:$BD$55, MATCH(TRUE, EXACT(Q$17, $BB$4:$BB$55), 0))</f>
        <v>ㄎ</v>
      </c>
      <c r="R19" s="189" t="str" cm="1">
        <f t="array" aca="1" ref="R19" ca="1" xml:space="preserve"> INDEX($BD$4:$BD$55, MATCH(TRUE, EXACT(R$17, $BB$4:$BB$55), 0))</f>
        <v>ㆣ</v>
      </c>
      <c r="S19" s="189" t="str" cm="1">
        <f t="array" aca="1" ref="S19" ca="1" xml:space="preserve"> INDEX($BD$4:$BD$55, MATCH(TRUE, EXACT(S$17, $BB$4:$BB$55), 0))</f>
        <v>ㄥ</v>
      </c>
      <c r="T19" s="189" t="str" cm="1">
        <f t="array" aca="1" ref="T19" ca="1" xml:space="preserve"> INDEX($BD$4:$BD$55, MATCH(TRUE, EXACT(T$17, $BB$4:$BB$55), 0))</f>
        <v>ㄏ</v>
      </c>
      <c r="U19" s="189" t="str" cm="1">
        <f t="array" aca="1" ref="U19" ca="1" xml:space="preserve"> INDEX($BD$4:$BD$55, MATCH(TRUE, EXACT(U$17, $BB$4:$BB$55), 0))</f>
        <v>ㄧ</v>
      </c>
      <c r="V19" s="189" t="str" cm="1">
        <f t="array" aca="1" ref="V19" ca="1" xml:space="preserve"> INDEX($BD$4:$BD$55, MATCH(TRUE, EXACT(V$17, $BB$4:$BB$55), 0))</f>
        <v>ㄨ</v>
      </c>
      <c r="W19" s="189" t="str" cm="1">
        <f t="array" aca="1" ref="W19" ca="1" xml:space="preserve"> INDEX($BD$4:$BD$55, MATCH(TRUE, EXACT(W$17, $BB$4:$BB$55), 0))</f>
        <v>ㄚ</v>
      </c>
      <c r="X19" s="189" t="str" cm="1">
        <f t="array" aca="1" ref="X19" ca="1" xml:space="preserve"> INDEX($BD$4:$BD$55, MATCH(TRUE, EXACT(X$17, $BB$4:$BB$55), 0))</f>
        <v>ㆦ</v>
      </c>
      <c r="Y19" s="189" t="str" cm="1">
        <f t="array" aca="1" ref="Y19" ca="1" xml:space="preserve"> INDEX($BD$4:$BD$55, MATCH(TRUE, EXACT(Y$17, $BB$4:$BB$55), 0))</f>
        <v>ㄜ</v>
      </c>
      <c r="Z19" s="189" t="str" cm="1">
        <f t="array" aca="1" ref="Z19" ca="1" xml:space="preserve"> INDEX($BD$4:$BD$55, MATCH(TRUE, EXACT(Z$17, $BB$4:$BB$55), 0))</f>
        <v>ㆤ</v>
      </c>
      <c r="AA19" s="189" t="str" cm="1">
        <f t="array" aca="1" ref="AA19" ca="1" xml:space="preserve"> INDEX($BD$4:$BD$55, MATCH(TRUE, EXACT(AA$17, $BB$4:$BB$55), 0))</f>
        <v>ㄞ</v>
      </c>
      <c r="AB19" s="189" t="str" cm="1">
        <f t="array" aca="1" ref="AB19" ca="1" xml:space="preserve"> INDEX($BD$4:$BD$55, MATCH(TRUE, EXACT(AB$17, $BB$4:$BB$55), 0))</f>
        <v>ㄠ</v>
      </c>
      <c r="AC19" s="189" t="str" cm="1">
        <f t="array" aca="1" ref="AC19" ca="1" xml:space="preserve"> INDEX($BD$4:$BD$55, MATCH(TRUE, EXACT(AC$17, $BB$4:$BB$55), 0))</f>
        <v>ㄢ</v>
      </c>
      <c r="AD19" s="189" t="str" cm="1">
        <f t="array" aca="1" ref="AD19" ca="1" xml:space="preserve"> INDEX($BD$4:$BD$55, MATCH(TRUE, EXACT(AD$17, $BB$4:$BB$55), 0))</f>
        <v>ㄤ</v>
      </c>
      <c r="AE19" s="189" t="str" cm="1">
        <f t="array" aca="1" ref="AE19" ca="1" xml:space="preserve"> INDEX($BD$4:$BD$55, MATCH(TRUE, EXACT(AE$17, $BB$4:$BB$55), 0))</f>
        <v>ㄦ</v>
      </c>
      <c r="AF19" s="189" t="str" cm="1">
        <f t="array" aca="1" ref="AF19" ca="1" xml:space="preserve"> INDEX($BD$4:$BD$55, MATCH(TRUE, EXACT(AF$17, $BB$4:$BB$55), 0))</f>
        <v>ㆪ</v>
      </c>
      <c r="AG19" s="189" t="str" cm="1">
        <f t="array" aca="1" ref="AG19" ca="1" xml:space="preserve"> INDEX($BD$4:$BD$55, MATCH(TRUE, EXACT(AG$17, $BB$4:$BB$55), 0))</f>
        <v>ㆫ</v>
      </c>
      <c r="AH19" s="189" t="str" cm="1">
        <f t="array" aca="1" ref="AH19" ca="1" xml:space="preserve"> INDEX($BD$4:$BD$55, MATCH(TRUE, EXACT(AH$17, $BB$4:$BB$55), 0))</f>
        <v>ㆩ</v>
      </c>
      <c r="AI19" s="189" t="str" cm="1">
        <f t="array" aca="1" ref="AI19" ca="1" xml:space="preserve"> INDEX($BD$4:$BD$55, MATCH(TRUE, EXACT(AI$17, $BB$4:$BB$55), 0))</f>
        <v>ㆧ</v>
      </c>
      <c r="AJ19" s="189" t="str" cm="1">
        <f t="array" aca="1" ref="AJ19" ca="1" xml:space="preserve"> INDEX($BD$4:$BD$55, MATCH(TRUE, EXACT(AJ$17, $BB$4:$BB$55), 0))</f>
        <v>ㆥ</v>
      </c>
      <c r="AK19" s="189" t="str" cm="1">
        <f t="array" aca="1" ref="AK19" ca="1" xml:space="preserve"> INDEX($BD$4:$BD$55, MATCH(TRUE, EXACT(AK$17, $BB$4:$BB$55), 0))</f>
        <v>ㆮ</v>
      </c>
      <c r="AL19" s="189" t="str" cm="1">
        <f t="array" aca="1" ref="AL19" ca="1" xml:space="preserve"> INDEX($BD$4:$BD$55, MATCH(TRUE, EXACT(AL$17, $BB$4:$BB$55), 0))</f>
        <v>ㆯ</v>
      </c>
      <c r="AM19" s="189" t="str" cm="1">
        <f t="array" aca="1" ref="AM19" ca="1" xml:space="preserve"> INDEX($BD$4:$BD$55, MATCH(TRUE, EXACT(AM$17, $BB$4:$BB$55), 0))</f>
        <v>ㄚㄇ</v>
      </c>
      <c r="AN19" s="189" t="str" cm="1">
        <f t="array" aca="1" ref="AN19" ca="1" xml:space="preserve"> INDEX($BD$4:$BD$55, MATCH(TRUE, EXACT(AN$17, $BB$4:$BB$55), 0))</f>
        <v>ㄛㄥ</v>
      </c>
      <c r="AO19" s="189" t="str" cm="1">
        <f t="array" aca="1" ref="AO19" ca="1" xml:space="preserve"> INDEX($BD$4:$BD$55, MATCH(TRUE, EXACT(AO$17, $BB$4:$BB$55), 0))</f>
        <v>ㄥ</v>
      </c>
      <c r="AP19" s="189" t="str" cm="1">
        <f t="array" aca="1" ref="AP19" ca="1" xml:space="preserve"> INDEX($BD$4:$BD$55, MATCH(TRUE, EXACT(AP$17, $BB$4:$BB$55), 0))</f>
        <v>ㄣ</v>
      </c>
      <c r="AQ19" s="189" t="str" cm="1">
        <f t="array" aca="1" ref="AQ19" ca="1" xml:space="preserve"> INDEX($BD$4:$BD$55, MATCH(TRUE, EXACT(AQ$17, $BB$4:$BB$55), 0))</f>
        <v>ㄇ</v>
      </c>
      <c r="AR19" s="189" t="str" cm="1">
        <f t="array" aca="1" ref="AR19" ca="1" xml:space="preserve"> INDEX($BD$4:$BD$55, MATCH(TRUE, EXACT(AR$17, $BB$4:$BB$55), 0))</f>
        <v></v>
      </c>
      <c r="AS19" s="189" t="str" cm="1">
        <f t="array" aca="1" ref="AS19" ca="1" xml:space="preserve"> INDEX($BD$4:$BD$55, MATCH(TRUE, EXACT(AS$17, $BB$4:$BB$55), 0))</f>
        <v>ˉ</v>
      </c>
      <c r="AT19" s="189" t="str" cm="1">
        <f t="array" aca="1" ref="AT19" ca="1" xml:space="preserve"> INDEX($BD$4:$BD$55, MATCH(TRUE, EXACT(AT$17, $BB$4:$BB$55), 0))</f>
        <v>ˋ</v>
      </c>
      <c r="AU19" s="189" t="str" cm="1">
        <f t="array" aca="1" ref="AU19" ca="1" xml:space="preserve"> INDEX($BD$4:$BD$55, MATCH(TRUE, EXACT(AU$17, $BB$4:$BB$55), 0))</f>
        <v>ˇ</v>
      </c>
      <c r="AV19" s="189" t="str" cm="1">
        <f t="array" aca="1" ref="AV19" ca="1" xml:space="preserve"> INDEX($BD$4:$BD$55, MATCH(TRUE, EXACT(AV$17, $BB$4:$BB$55), 0))</f>
        <v>ˊ</v>
      </c>
      <c r="AW19" s="189" t="str" cm="1">
        <f t="array" aca="1" ref="AW19" ca="1" xml:space="preserve"> INDEX($BD$4:$BD$55, MATCH(TRUE, EXACT(AW$17, $BB$4:$BB$55), 0))</f>
        <v>+</v>
      </c>
      <c r="AX19" s="189" t="str" cm="1">
        <f t="array" aca="1" ref="AX19" ca="1" xml:space="preserve"> INDEX($BD$4:$BD$55, MATCH(TRUE, EXACT(AX$17, $BB$4:$BB$55), 0))</f>
        <v>˙</v>
      </c>
      <c r="AY19" s="103"/>
      <c r="AZ19" s="103"/>
      <c r="BA19" s="136">
        <f t="shared" si="0"/>
        <v>16</v>
      </c>
      <c r="BB19" s="71" t="str">
        <f>注音編碼對照表!C22</f>
        <v>g</v>
      </c>
      <c r="BC19" s="351" t="str" cm="1">
        <f t="array" ref="BC19" xml:space="preserve"> INDEX( 注音編碼對照表[注音符號], MATCH(TRUE, EXACT(注音符號按鍵!$BB19, 注音編碼對照表[鍵盤按鍵]), 0))</f>
        <v>ㄫ</v>
      </c>
      <c r="BD19" s="352" t="str" cm="1">
        <f t="array" ref="BD19" xml:space="preserve"> INDEX( 注音編碼對照表[台語ㄅㄆㄇ], MATCH(TRUE, EXACT(注音符號按鍵!$BB19, 注音編碼對照表[鍵盤按鍵]), 0))</f>
        <v>ㄥ</v>
      </c>
      <c r="BE19" s="349" t="str" cm="1">
        <f t="array" ref="BE19" xml:space="preserve"> INDEX( 注音編碼對照表[國際音標], MATCH(TRUE, EXACT(注音符號按鍵!$BB19, 注音編碼對照表[鍵盤按鍵]), 0))</f>
        <v>ŋ</v>
      </c>
      <c r="BF19" s="350" t="str" cm="1">
        <f t="array" ref="BF19" xml:space="preserve"> INDEX( 注音編碼對照表[台語音標], MATCH(TRUE, EXACT(注音符號按鍵!$BB19, 注音編碼對照表[鍵盤按鍵]), 0))</f>
        <v>ng-</v>
      </c>
      <c r="BG19" s="95"/>
      <c r="BI19" s="137" t="str">
        <f t="shared" si="1"/>
        <v>"g": { commit: "ㄫ" }</v>
      </c>
      <c r="BK19" s="106">
        <f t="shared" si="2"/>
        <v>16</v>
      </c>
      <c r="BL19" s="138" t="str">
        <f t="shared" si="3"/>
        <v>- xform/ŋ/g/</v>
      </c>
      <c r="BN19" s="138" t="str">
        <f t="shared" si="4"/>
        <v>- xform/g/ㄫ/</v>
      </c>
    </row>
    <row r="20" spans="1:80" ht="45" customHeight="1">
      <c r="A20" s="147"/>
      <c r="B20" s="151" t="s">
        <v>263</v>
      </c>
      <c r="C20" s="152"/>
      <c r="D20" s="153" t="str" cm="1">
        <f t="array" aca="1" ref="D20" ca="1" xml:space="preserve"> INDEX($BF$4:$BF$55, MATCH(TRUE, EXACT(D$17, $BB$4:$BB$55), 0))</f>
        <v>p</v>
      </c>
      <c r="E20" s="153" t="str" cm="1">
        <f t="array" aca="1" ref="E20" ca="1" xml:space="preserve"> INDEX($BF$4:$BF$55, MATCH(TRUE, EXACT(E$17, $BB$4:$BB$55), 0))</f>
        <v>ph</v>
      </c>
      <c r="F20" s="153" t="str" cm="1">
        <f t="array" aca="1" ref="F20" ca="1" xml:space="preserve"> INDEX($BF$4:$BF$55, MATCH(TRUE, EXACT(F$17, $BB$4:$BB$55), 0))</f>
        <v>b</v>
      </c>
      <c r="G20" s="153" t="str" cm="1">
        <f t="array" aca="1" ref="G20" ca="1" xml:space="preserve"> INDEX($BF$4:$BF$55, MATCH(TRUE, EXACT(G$17, $BB$4:$BB$55), 0))</f>
        <v>m</v>
      </c>
      <c r="H20" s="153" t="str" cm="1">
        <f t="array" aca="1" ref="H20" ca="1" xml:space="preserve"> INDEX($BF$4:$BF$55, MATCH(TRUE, EXACT(H$17, $BB$4:$BB$55), 0))</f>
        <v>t</v>
      </c>
      <c r="I20" s="153" t="str" cm="1">
        <f t="array" aca="1" ref="I20" ca="1" xml:space="preserve"> INDEX($BF$4:$BF$55, MATCH(TRUE, EXACT(I$17, $BB$4:$BB$55), 0))</f>
        <v>th</v>
      </c>
      <c r="J20" s="153" t="str" cm="1">
        <f t="array" aca="1" ref="J20" ca="1" xml:space="preserve"> INDEX($BF$4:$BF$55, MATCH(TRUE, EXACT(J$17, $BB$4:$BB$55), 0))</f>
        <v>n</v>
      </c>
      <c r="K20" s="153" t="str" cm="1">
        <f t="array" aca="1" ref="K20" ca="1" xml:space="preserve"> INDEX($BF$4:$BF$55, MATCH(TRUE, EXACT(K$17, $BB$4:$BB$55), 0))</f>
        <v>l</v>
      </c>
      <c r="L20" s="153" t="str" cm="1">
        <f t="array" aca="1" ref="L20" ca="1" xml:space="preserve"> INDEX($BF$4:$BF$55, MATCH(TRUE, EXACT(L$17, $BB$4:$BB$55), 0))</f>
        <v>zi-</v>
      </c>
      <c r="M20" s="153" t="str" cm="1">
        <f t="array" aca="1" ref="M20" ca="1" xml:space="preserve"> INDEX($BF$4:$BF$55, MATCH(TRUE, EXACT(M$17, $BB$4:$BB$55), 0))</f>
        <v>ci-</v>
      </c>
      <c r="N20" s="153" t="str" cm="1">
        <f t="array" aca="1" ref="N20" ca="1" xml:space="preserve"> INDEX($BF$4:$BF$55, MATCH(TRUE, EXACT(N$17, $BB$4:$BB$55), 0))</f>
        <v>ji-</v>
      </c>
      <c r="O20" s="153" t="str" cm="1">
        <f t="array" aca="1" ref="O20" ca="1" xml:space="preserve"> INDEX($BF$4:$BF$55, MATCH(TRUE, EXACT(O$17, $BB$4:$BB$55), 0))</f>
        <v>si-</v>
      </c>
      <c r="P20" s="153" t="str" cm="1">
        <f t="array" aca="1" ref="P20" ca="1" xml:space="preserve"> INDEX($BF$4:$BF$55, MATCH(TRUE, EXACT(P$17, $BB$4:$BB$55), 0))</f>
        <v>k</v>
      </c>
      <c r="Q20" s="153" t="str" cm="1">
        <f t="array" aca="1" ref="Q20" ca="1" xml:space="preserve"> INDEX($BF$4:$BF$55, MATCH(TRUE, EXACT(Q$17, $BB$4:$BB$55), 0))</f>
        <v>kh</v>
      </c>
      <c r="R20" s="153" t="str" cm="1">
        <f t="array" aca="1" ref="R20" ca="1" xml:space="preserve"> INDEX($BF$4:$BF$55, MATCH(TRUE, EXACT(R$17, $BB$4:$BB$55), 0))</f>
        <v>g</v>
      </c>
      <c r="S20" s="153" t="str" cm="1">
        <f t="array" aca="1" ref="S20" ca="1" xml:space="preserve"> INDEX($BF$4:$BF$55, MATCH(TRUE, EXACT(S$17, $BB$4:$BB$55), 0))</f>
        <v>ng-</v>
      </c>
      <c r="T20" s="153" t="str" cm="1">
        <f t="array" aca="1" ref="T20" ca="1" xml:space="preserve"> INDEX($BF$4:$BF$55, MATCH(TRUE, EXACT(T$17, $BB$4:$BB$55), 0))</f>
        <v>h</v>
      </c>
      <c r="U20" s="153" t="str" cm="1">
        <f t="array" aca="1" ref="U20" ca="1" xml:space="preserve"> INDEX($BF$4:$BF$55, MATCH(TRUE, EXACT(U$17, $BB$4:$BB$55), 0))</f>
        <v>i</v>
      </c>
      <c r="V20" s="153" t="str" cm="1">
        <f t="array" aca="1" ref="V20" ca="1" xml:space="preserve"> INDEX($BF$4:$BF$55, MATCH(TRUE, EXACT(V$17, $BB$4:$BB$55), 0))</f>
        <v>u</v>
      </c>
      <c r="W20" s="153" t="str" cm="1">
        <f t="array" aca="1" ref="W20" ca="1" xml:space="preserve"> INDEX($BF$4:$BF$55, MATCH(TRUE, EXACT(W$17, $BB$4:$BB$55), 0))</f>
        <v>a</v>
      </c>
      <c r="X20" s="153" t="str" cm="1">
        <f t="array" aca="1" ref="X20" ca="1" xml:space="preserve"> INDEX($BF$4:$BF$55, MATCH(TRUE, EXACT(X$17, $BB$4:$BB$55), 0))</f>
        <v>oo</v>
      </c>
      <c r="Y20" s="153" t="str" cm="1">
        <f t="array" aca="1" ref="Y20" ca="1" xml:space="preserve"> INDEX($BF$4:$BF$55, MATCH(TRUE, EXACT(Y$17, $BB$4:$BB$55), 0))</f>
        <v>o</v>
      </c>
      <c r="Z20" s="153" t="str" cm="1">
        <f t="array" aca="1" ref="Z20" ca="1" xml:space="preserve"> INDEX($BF$4:$BF$55, MATCH(TRUE, EXACT(Z$17, $BB$4:$BB$55), 0))</f>
        <v>e</v>
      </c>
      <c r="AA20" s="153" t="str" cm="1">
        <f t="array" aca="1" ref="AA20" ca="1" xml:space="preserve"> INDEX($BF$4:$BF$55, MATCH(TRUE, EXACT(AA$17, $BB$4:$BB$55), 0))</f>
        <v>ai</v>
      </c>
      <c r="AB20" s="153" t="str" cm="1">
        <f t="array" aca="1" ref="AB20" ca="1" xml:space="preserve"> INDEX($BF$4:$BF$55, MATCH(TRUE, EXACT(AB$17, $BB$4:$BB$55), 0))</f>
        <v>au</v>
      </c>
      <c r="AC20" s="153" t="str" cm="1">
        <f t="array" aca="1" ref="AC20" ca="1" xml:space="preserve"> INDEX($BF$4:$BF$55, MATCH(TRUE, EXACT(AC$17, $BB$4:$BB$55), 0))</f>
        <v>an</v>
      </c>
      <c r="AD20" s="153" t="str" cm="1">
        <f t="array" aca="1" ref="AD20" ca="1" xml:space="preserve"> INDEX($BF$4:$BF$55, MATCH(TRUE, EXACT(AD$17, $BB$4:$BB$55), 0))</f>
        <v>ang</v>
      </c>
      <c r="AE20" s="153" t="str" cm="1">
        <f t="array" aca="1" ref="AE20" ca="1" xml:space="preserve"> INDEX($BF$4:$BF$55, MATCH(TRUE, EXACT(AE$17, $BB$4:$BB$55), 0))</f>
        <v>ir</v>
      </c>
      <c r="AF20" s="153" t="str" cm="1">
        <f t="array" aca="1" ref="AF20" ca="1" xml:space="preserve"> INDEX($BF$4:$BF$55, MATCH(TRUE, EXACT(AF$17, $BB$4:$BB$55), 0))</f>
        <v>inn</v>
      </c>
      <c r="AG20" s="153" t="str" cm="1">
        <f t="array" aca="1" ref="AG20" ca="1" xml:space="preserve"> INDEX($BF$4:$BF$55, MATCH(TRUE, EXACT(AG$17, $BB$4:$BB$55), 0))</f>
        <v>unn</v>
      </c>
      <c r="AH20" s="153" t="str" cm="1">
        <f t="array" aca="1" ref="AH20" ca="1" xml:space="preserve"> INDEX($BF$4:$BF$55, MATCH(TRUE, EXACT(AH$17, $BB$4:$BB$55), 0))</f>
        <v>ann</v>
      </c>
      <c r="AI20" s="153" t="str" cm="1">
        <f t="array" aca="1" ref="AI20" ca="1" xml:space="preserve"> INDEX($BF$4:$BF$55, MATCH(TRUE, EXACT(AI$17, $BB$4:$BB$55), 0))</f>
        <v>onn</v>
      </c>
      <c r="AJ20" s="153" t="str" cm="1">
        <f t="array" aca="1" ref="AJ20" ca="1" xml:space="preserve"> INDEX($BF$4:$BF$55, MATCH(TRUE, EXACT(AJ$17, $BB$4:$BB$55), 0))</f>
        <v>enn</v>
      </c>
      <c r="AK20" s="153" t="str" cm="1">
        <f t="array" aca="1" ref="AK20" ca="1" xml:space="preserve"> INDEX($BF$4:$BF$55, MATCH(TRUE, EXACT(AK$17, $BB$4:$BB$55), 0))</f>
        <v>ainn</v>
      </c>
      <c r="AL20" s="153" t="str" cm="1">
        <f t="array" aca="1" ref="AL20" ca="1" xml:space="preserve"> INDEX($BF$4:$BF$55, MATCH(TRUE, EXACT(AL$17, $BB$4:$BB$55), 0))</f>
        <v>aunn</v>
      </c>
      <c r="AM20" s="153" t="str" cm="1">
        <f t="array" aca="1" ref="AM20" ca="1" xml:space="preserve"> INDEX($BF$4:$BF$55, MATCH(TRUE, EXACT(AM$17, $BB$4:$BB$55), 0))</f>
        <v>am</v>
      </c>
      <c r="AN20" s="153" t="str" cm="1">
        <f t="array" aca="1" ref="AN20" ca="1" xml:space="preserve"> INDEX($BF$4:$BF$55, MATCH(TRUE, EXACT(AN$17, $BB$4:$BB$55), 0))</f>
        <v>ong</v>
      </c>
      <c r="AO20" s="153" t="str" cm="1">
        <f t="array" aca="1" ref="AO20" ca="1" xml:space="preserve"> INDEX($BF$4:$BF$55, MATCH(TRUE, EXACT(AO$17, $BB$4:$BB$55), 0))</f>
        <v>-ng</v>
      </c>
      <c r="AP20" s="153" t="str" cm="1">
        <f t="array" aca="1" ref="AP20" ca="1" xml:space="preserve"> INDEX($BF$4:$BF$55, MATCH(TRUE, EXACT(AP$17, $BB$4:$BB$55), 0))</f>
        <v>-n</v>
      </c>
      <c r="AQ20" s="153" t="str" cm="1">
        <f t="array" aca="1" ref="AQ20" ca="1" xml:space="preserve"> INDEX($BF$4:$BF$55, MATCH(TRUE, EXACT(AQ$17, $BB$4:$BB$55), 0))</f>
        <v>-m</v>
      </c>
      <c r="AR20" s="153" t="str" cm="1">
        <f t="array" aca="1" ref="AR20" ca="1" xml:space="preserve"> INDEX($BF$4:$BF$55, MATCH(TRUE, EXACT(AR$17, $BB$4:$BB$55), 0))</f>
        <v>-nn</v>
      </c>
      <c r="AS20" s="153" cm="1">
        <f t="array" aca="1" ref="AS20" ca="1" xml:space="preserve"> INDEX($BF$4:$BF$55, MATCH(TRUE, EXACT(AS$17, $BB$4:$BB$55), 0))</f>
        <v>1</v>
      </c>
      <c r="AT20" s="153" cm="1">
        <f t="array" aca="1" ref="AT20" ca="1" xml:space="preserve"> INDEX($BF$4:$BF$55, MATCH(TRUE, EXACT(AT$17, $BB$4:$BB$55), 0))</f>
        <v>2</v>
      </c>
      <c r="AU20" s="153" cm="1">
        <f t="array" aca="1" ref="AU20" ca="1" xml:space="preserve"> INDEX($BF$4:$BF$55, MATCH(TRUE, EXACT(AU$17, $BB$4:$BB$55), 0))</f>
        <v>3</v>
      </c>
      <c r="AV20" s="153" cm="1">
        <f t="array" aca="1" ref="AV20" ca="1" xml:space="preserve"> INDEX($BF$4:$BF$55, MATCH(TRUE, EXACT(AV$17, $BB$4:$BB$55), 0))</f>
        <v>5</v>
      </c>
      <c r="AW20" s="153" cm="1">
        <f t="array" aca="1" ref="AW20" ca="1" xml:space="preserve"> INDEX($BF$4:$BF$55, MATCH(TRUE, EXACT(AW$17, $BB$4:$BB$55), 0))</f>
        <v>7</v>
      </c>
      <c r="AX20" s="153" t="str" cm="1">
        <f t="array" aca="1" ref="AX20" ca="1" xml:space="preserve"> INDEX($BF$4:$BF$55, MATCH(TRUE, EXACT(AX$17, $BB$4:$BB$55), 0))</f>
        <v>[48]</v>
      </c>
      <c r="BA20" s="136">
        <f t="shared" si="0"/>
        <v>17</v>
      </c>
      <c r="BB20" s="71" t="str">
        <f>注音編碼對照表!C23</f>
        <v>c</v>
      </c>
      <c r="BC20" s="351" t="str" cm="1">
        <f t="array" ref="BC20" xml:space="preserve"> INDEX( 注音編碼對照表[注音符號], MATCH(TRUE, EXACT(注音符號按鍵!$BB20, 注音編碼對照表[鍵盤按鍵]), 0))</f>
        <v>ㄏ</v>
      </c>
      <c r="BD20" s="352" t="str" cm="1">
        <f t="array" ref="BD20" xml:space="preserve"> INDEX( 注音編碼對照表[台語ㄅㄆㄇ], MATCH(TRUE, EXACT(注音符號按鍵!$BB20, 注音編碼對照表[鍵盤按鍵]), 0))</f>
        <v>ㄏ</v>
      </c>
      <c r="BE20" s="349" t="str" cm="1">
        <f t="array" ref="BE20" xml:space="preserve"> INDEX( 注音編碼對照表[國際音標], MATCH(TRUE, EXACT(注音符號按鍵!$BB20, 注音編碼對照表[鍵盤按鍵]), 0))</f>
        <v>h</v>
      </c>
      <c r="BF20" s="350" t="str" cm="1">
        <f t="array" ref="BF20" xml:space="preserve"> INDEX( 注音編碼對照表[台語音標], MATCH(TRUE, EXACT(注音符號按鍵!$BB20, 注音編碼對照表[鍵盤按鍵]), 0))</f>
        <v>h</v>
      </c>
      <c r="BG20" s="95"/>
      <c r="BI20" s="137" t="str">
        <f t="shared" si="1"/>
        <v>"c": { commit: "ㄏ" }</v>
      </c>
      <c r="BK20" s="113">
        <f t="shared" si="2"/>
        <v>17</v>
      </c>
      <c r="BL20" s="138" t="str">
        <f t="shared" si="3"/>
        <v>- xform/h/c/</v>
      </c>
      <c r="BN20" s="138" t="str">
        <f t="shared" si="4"/>
        <v>- xform/c/ㄏ/</v>
      </c>
    </row>
    <row r="21" spans="1:80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INDEX($BE$4:$BE$55, MATCH(TRUE, EXACT(D$17, $BB$4:$BB$55), 0))</f>
        <v>p</v>
      </c>
      <c r="E21" s="156" t="str" cm="1">
        <f t="array" aca="1" ref="E21" ca="1" xml:space="preserve"> INDEX($BE$4:$BE$55, MATCH(TRUE, EXACT(E$17, $BB$4:$BB$55), 0))</f>
        <v>pʰ</v>
      </c>
      <c r="F21" s="156" t="str" cm="1">
        <f t="array" aca="1" ref="F21" ca="1" xml:space="preserve"> INDEX($BE$4:$BE$55, MATCH(TRUE, EXACT(F$17, $BB$4:$BB$55), 0))</f>
        <v>b</v>
      </c>
      <c r="G21" s="156" t="str" cm="1">
        <f t="array" aca="1" ref="G21" ca="1" xml:space="preserve"> INDEX($BE$4:$BE$55, MATCH(TRUE, EXACT(G$17, $BB$4:$BB$55), 0))</f>
        <v>m</v>
      </c>
      <c r="H21" s="156" t="str" cm="1">
        <f t="array" aca="1" ref="H21" ca="1" xml:space="preserve"> INDEX($BE$4:$BE$55, MATCH(TRUE, EXACT(H$17, $BB$4:$BB$55), 0))</f>
        <v>t</v>
      </c>
      <c r="I21" s="156" t="str" cm="1">
        <f t="array" aca="1" ref="I21" ca="1" xml:space="preserve"> INDEX($BE$4:$BE$55, MATCH(TRUE, EXACT(I$17, $BB$4:$BB$55), 0))</f>
        <v>tʰ</v>
      </c>
      <c r="J21" s="156" t="str" cm="1">
        <f t="array" aca="1" ref="J21" ca="1" xml:space="preserve"> INDEX($BE$4:$BE$55, MATCH(TRUE, EXACT(J$17, $BB$4:$BB$55), 0))</f>
        <v>n</v>
      </c>
      <c r="K21" s="156" t="str" cm="1">
        <f t="array" aca="1" ref="K21" ca="1" xml:space="preserve"> INDEX($BE$4:$BE$55, MATCH(TRUE, EXACT(K$17, $BB$4:$BB$55), 0))</f>
        <v>l</v>
      </c>
      <c r="L21" s="156" t="str" cm="1">
        <f t="array" aca="1" ref="L21" ca="1" xml:space="preserve"> INDEX($BE$4:$BE$55, MATCH(TRUE, EXACT(L$17, $BB$4:$BB$55), 0))</f>
        <v>ʨ</v>
      </c>
      <c r="M21" s="156" t="str" cm="1">
        <f t="array" aca="1" ref="M21" ca="1" xml:space="preserve"> INDEX($BE$4:$BE$55, MATCH(TRUE, EXACT(M$17, $BB$4:$BB$55), 0))</f>
        <v>ʨʰ</v>
      </c>
      <c r="N21" s="156" t="str" cm="1">
        <f t="array" aca="1" ref="N21" ca="1" xml:space="preserve"> INDEX($BE$4:$BE$55, MATCH(TRUE, EXACT(N$17, $BB$4:$BB$55), 0))</f>
        <v>ʥ</v>
      </c>
      <c r="O21" s="156" t="str" cm="1">
        <f t="array" aca="1" ref="O21" ca="1" xml:space="preserve"> INDEX($BE$4:$BE$55, MATCH(TRUE, EXACT(O$17, $BB$4:$BB$55), 0))</f>
        <v>ɕ</v>
      </c>
      <c r="P21" s="156" t="str" cm="1">
        <f t="array" aca="1" ref="P21" ca="1" xml:space="preserve"> INDEX($BE$4:$BE$55, MATCH(TRUE, EXACT(P$17, $BB$4:$BB$55), 0))</f>
        <v>k</v>
      </c>
      <c r="Q21" s="156" t="str" cm="1">
        <f t="array" aca="1" ref="Q21" ca="1" xml:space="preserve"> INDEX($BE$4:$BE$55, MATCH(TRUE, EXACT(Q$17, $BB$4:$BB$55), 0))</f>
        <v>kʰ</v>
      </c>
      <c r="R21" s="156" t="str" cm="1">
        <f t="array" aca="1" ref="R21" ca="1" xml:space="preserve"> INDEX($BE$4:$BE$55, MATCH(TRUE, EXACT(R$17, $BB$4:$BB$55), 0))</f>
        <v>g</v>
      </c>
      <c r="S21" s="156" t="str" cm="1">
        <f t="array" aca="1" ref="S21" ca="1" xml:space="preserve"> INDEX($BE$4:$BE$55, MATCH(TRUE, EXACT(S$17, $BB$4:$BB$55), 0))</f>
        <v>ŋ</v>
      </c>
      <c r="T21" s="156" t="str" cm="1">
        <f t="array" aca="1" ref="T21" ca="1" xml:space="preserve"> INDEX($BE$4:$BE$55, MATCH(TRUE, EXACT(T$17, $BB$4:$BB$55), 0))</f>
        <v>h</v>
      </c>
      <c r="U21" s="156" t="str" cm="1">
        <f t="array" aca="1" ref="U21" ca="1" xml:space="preserve"> INDEX($BE$4:$BE$55, MATCH(TRUE, EXACT(U$17, $BB$4:$BB$55), 0))</f>
        <v>i</v>
      </c>
      <c r="V21" s="156" t="str" cm="1">
        <f t="array" aca="1" ref="V21" ca="1" xml:space="preserve"> INDEX($BE$4:$BE$55, MATCH(TRUE, EXACT(V$17, $BB$4:$BB$55), 0))</f>
        <v>u</v>
      </c>
      <c r="W21" s="156" t="str" cm="1">
        <f t="array" aca="1" ref="W21" ca="1" xml:space="preserve"> INDEX($BE$4:$BE$55, MATCH(TRUE, EXACT(W$17, $BB$4:$BB$55), 0))</f>
        <v>a</v>
      </c>
      <c r="X21" s="156" t="str" cm="1">
        <f t="array" aca="1" ref="X21" ca="1" xml:space="preserve"> INDEX($BE$4:$BE$55, MATCH(TRUE, EXACT(X$17, $BB$4:$BB$55), 0))</f>
        <v>ɔ</v>
      </c>
      <c r="Y21" s="156" t="str" cm="1">
        <f t="array" aca="1" ref="Y21" ca="1" xml:space="preserve"> INDEX($BE$4:$BE$55, MATCH(TRUE, EXACT(Y$17, $BB$4:$BB$55), 0))</f>
        <v>ə</v>
      </c>
      <c r="Z21" s="156" t="str" cm="1">
        <f t="array" aca="1" ref="Z21" ca="1" xml:space="preserve"> INDEX($BE$4:$BE$55, MATCH(TRUE, EXACT(Z$17, $BB$4:$BB$55), 0))</f>
        <v>e</v>
      </c>
      <c r="AA21" s="156" t="str" cm="1">
        <f t="array" aca="1" ref="AA21" ca="1" xml:space="preserve"> INDEX($BE$4:$BE$55, MATCH(TRUE, EXACT(AA$17, $BB$4:$BB$55), 0))</f>
        <v>ai</v>
      </c>
      <c r="AB21" s="156" t="str" cm="1">
        <f t="array" aca="1" ref="AB21" ca="1" xml:space="preserve"> INDEX($BE$4:$BE$55, MATCH(TRUE, EXACT(AB$17, $BB$4:$BB$55), 0))</f>
        <v>ɑu</v>
      </c>
      <c r="AC21" s="156" t="str" cm="1">
        <f t="array" aca="1" ref="AC21" ca="1" xml:space="preserve"> INDEX($BE$4:$BE$55, MATCH(TRUE, EXACT(AC$17, $BB$4:$BB$55), 0))</f>
        <v>an</v>
      </c>
      <c r="AD21" s="156" t="str" cm="1">
        <f t="array" aca="1" ref="AD21" ca="1" xml:space="preserve"> INDEX($BE$4:$BE$55, MATCH(TRUE, EXACT(AD$17, $BB$4:$BB$55), 0))</f>
        <v>ɑŋ</v>
      </c>
      <c r="AE21" s="156" t="str" cm="1">
        <f t="array" aca="1" ref="AE21" ca="1" xml:space="preserve"> INDEX($BE$4:$BE$55, MATCH(TRUE, EXACT(AE$17, $BB$4:$BB$55), 0))</f>
        <v>ɨ</v>
      </c>
      <c r="AF21" s="156" t="str" cm="1">
        <f t="array" aca="1" ref="AF21" ca="1" xml:space="preserve"> INDEX($BE$4:$BE$55, MATCH(TRUE, EXACT(AF$17, $BB$4:$BB$55), 0))</f>
        <v>ĩ</v>
      </c>
      <c r="AG21" s="156" t="str" cm="1">
        <f t="array" aca="1" ref="AG21" ca="1" xml:space="preserve"> INDEX($BE$4:$BE$55, MATCH(TRUE, EXACT(AG$17, $BB$4:$BB$55), 0))</f>
        <v>ũ</v>
      </c>
      <c r="AH21" s="156" t="str" cm="1">
        <f t="array" aca="1" ref="AH21" ca="1" xml:space="preserve"> INDEX($BE$4:$BE$55, MATCH(TRUE, EXACT(AH$17, $BB$4:$BB$55), 0))</f>
        <v>ã</v>
      </c>
      <c r="AI21" s="156" t="str" cm="1">
        <f t="array" aca="1" ref="AI21" ca="1" xml:space="preserve"> INDEX($BE$4:$BE$55, MATCH(TRUE, EXACT(AI$17, $BB$4:$BB$55), 0))</f>
        <v>ɔ̃</v>
      </c>
      <c r="AJ21" s="156" t="str" cm="1">
        <f t="array" aca="1" ref="AJ21" ca="1" xml:space="preserve"> INDEX($BE$4:$BE$55, MATCH(TRUE, EXACT(AJ$17, $BB$4:$BB$55), 0))</f>
        <v>ẽ</v>
      </c>
      <c r="AK21" s="156" t="str" cm="1">
        <f t="array" aca="1" ref="AK21" ca="1" xml:space="preserve"> INDEX($BE$4:$BE$55, MATCH(TRUE, EXACT(AK$17, $BB$4:$BB$55), 0))</f>
        <v>ãĩ</v>
      </c>
      <c r="AL21" s="156" t="str" cm="1">
        <f t="array" aca="1" ref="AL21" ca="1" xml:space="preserve"> INDEX($BE$4:$BE$55, MATCH(TRUE, EXACT(AL$17, $BB$4:$BB$55), 0))</f>
        <v>ãũ</v>
      </c>
      <c r="AM21" s="156" t="str" cm="1">
        <f t="array" aca="1" ref="AM21" ca="1" xml:space="preserve"> INDEX($BE$4:$BE$55, MATCH(TRUE, EXACT(AM$17, $BB$4:$BB$55), 0))</f>
        <v>am</v>
      </c>
      <c r="AN21" s="156" t="str" cm="1">
        <f t="array" aca="1" ref="AN21" ca="1" xml:space="preserve"> INDEX($BE$4:$BE$55, MATCH(TRUE, EXACT(AN$17, $BB$4:$BB$55), 0))</f>
        <v>ɔŋ</v>
      </c>
      <c r="AO21" s="156" t="str" cm="1">
        <f t="array" aca="1" ref="AO21" ca="1" xml:space="preserve"> INDEX($BE$4:$BE$55, MATCH(TRUE, EXACT(AO$17, $BB$4:$BB$55), 0))</f>
        <v>ŋ̍</v>
      </c>
      <c r="AP21" s="156" t="str" cm="1">
        <f t="array" aca="1" ref="AP21" ca="1" xml:space="preserve"> INDEX($BE$4:$BE$55, MATCH(TRUE, EXACT(AP$17, $BB$4:$BB$55), 0))</f>
        <v>n</v>
      </c>
      <c r="AQ21" s="156" t="str" cm="1">
        <f t="array" aca="1" ref="AQ21" ca="1" xml:space="preserve"> INDEX($BE$4:$BE$55, MATCH(TRUE, EXACT(AQ$17, $BB$4:$BB$55), 0))</f>
        <v>m̩</v>
      </c>
      <c r="AR21" s="156" t="str" cm="1">
        <f t="array" aca="1" ref="AR21" ca="1" xml:space="preserve"> INDEX($BE$4:$BE$55, MATCH(TRUE, EXACT(AR$17, $BB$4:$BB$55), 0))</f>
        <v>ɲ</v>
      </c>
      <c r="AS21" s="156" cm="1">
        <f t="array" aca="1" ref="AS21" ca="1" xml:space="preserve"> INDEX($BE$4:$BE$55, MATCH(TRUE, EXACT(AS$17, $BB$4:$BB$55), 0))</f>
        <v>0</v>
      </c>
      <c r="AT21" s="156" cm="1">
        <f t="array" aca="1" ref="AT21" ca="1" xml:space="preserve"> INDEX($BE$4:$BE$55, MATCH(TRUE, EXACT(AT$17, $BB$4:$BB$55), 0))</f>
        <v>0</v>
      </c>
      <c r="AU21" s="156" cm="1">
        <f t="array" aca="1" ref="AU21" ca="1" xml:space="preserve"> INDEX($BE$4:$BE$55, MATCH(TRUE, EXACT(AU$17, $BB$4:$BB$55), 0))</f>
        <v>0</v>
      </c>
      <c r="AV21" s="156" cm="1">
        <f t="array" aca="1" ref="AV21" ca="1" xml:space="preserve"> INDEX($BE$4:$BE$55, MATCH(TRUE, EXACT(AV$17, $BB$4:$BB$55), 0))</f>
        <v>0</v>
      </c>
      <c r="AW21" s="156" cm="1">
        <f t="array" aca="1" ref="AW21" ca="1" xml:space="preserve"> INDEX($BE$4:$BE$55, MATCH(TRUE, EXACT(AW$17, $BB$4:$BB$55), 0))</f>
        <v>0</v>
      </c>
      <c r="AX21" s="156" cm="1">
        <f t="array" aca="1" ref="AX21" ca="1" xml:space="preserve"> INDEX($BE$4:$BE$55, MATCH(TRUE, EXACT(AX$17, $BB$4:$BB$55), 0))</f>
        <v>0</v>
      </c>
      <c r="AY21" s="102"/>
      <c r="AZ21" s="102"/>
      <c r="BA21" s="136">
        <f t="shared" si="0"/>
        <v>18</v>
      </c>
      <c r="BB21" s="71" t="str">
        <f>注音編碼對照表!C24</f>
        <v>u</v>
      </c>
      <c r="BC21" s="351" t="str" cm="1">
        <f t="array" ref="BC21" xml:space="preserve"> INDEX( 注音編碼對照表[注音符號], MATCH(TRUE, EXACT(注音符號按鍵!$BB21, 注音編碼對照表[鍵盤按鍵]), 0))</f>
        <v>ㄧ</v>
      </c>
      <c r="BD21" s="352" t="str" cm="1">
        <f t="array" ref="BD21" xml:space="preserve"> INDEX( 注音編碼對照表[台語ㄅㄆㄇ], MATCH(TRUE, EXACT(注音符號按鍵!$BB21, 注音編碼對照表[鍵盤按鍵]), 0))</f>
        <v>ㄧ</v>
      </c>
      <c r="BE21" s="349" t="str" cm="1">
        <f t="array" ref="BE21" xml:space="preserve"> INDEX( 注音編碼對照表[國際音標], MATCH(TRUE, EXACT(注音符號按鍵!$BB21, 注音編碼對照表[鍵盤按鍵]), 0))</f>
        <v>i</v>
      </c>
      <c r="BF21" s="350" t="str" cm="1">
        <f t="array" ref="BF21" xml:space="preserve"> INDEX( 注音編碼對照表[台語音標], MATCH(TRUE, EXACT(注音符號按鍵!$BB21, 注音編碼對照表[鍵盤按鍵]), 0))</f>
        <v>i</v>
      </c>
      <c r="BG21" s="95"/>
      <c r="BI21" s="137" t="str">
        <f t="shared" si="1"/>
        <v>"u": { commit: "ㄧ" }</v>
      </c>
      <c r="BK21" s="106">
        <f t="shared" si="2"/>
        <v>18</v>
      </c>
      <c r="BL21" s="138" t="str">
        <f t="shared" si="3"/>
        <v>- xform/i/u/</v>
      </c>
      <c r="BN21" s="138" t="str">
        <f t="shared" si="4"/>
        <v>- xform/u/ㄧ/</v>
      </c>
    </row>
    <row r="22" spans="1:80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36">
        <f t="shared" si="0"/>
        <v>19</v>
      </c>
      <c r="BB22" s="71" t="str">
        <f>注音編碼對照表!C25</f>
        <v>j</v>
      </c>
      <c r="BC22" s="351" t="str" cm="1">
        <f t="array" ref="BC22" xml:space="preserve"> INDEX( 注音編碼對照表[注音符號], MATCH(TRUE, EXACT(注音符號按鍵!$BB22, 注音編碼對照表[鍵盤按鍵]), 0))</f>
        <v>ㄨ</v>
      </c>
      <c r="BD22" s="352" t="str" cm="1">
        <f t="array" ref="BD22" xml:space="preserve"> INDEX( 注音編碼對照表[台語ㄅㄆㄇ], MATCH(TRUE, EXACT(注音符號按鍵!$BB22, 注音編碼對照表[鍵盤按鍵]), 0))</f>
        <v>ㄨ</v>
      </c>
      <c r="BE22" s="349" t="str" cm="1">
        <f t="array" ref="BE22" xml:space="preserve"> INDEX( 注音編碼對照表[國際音標], MATCH(TRUE, EXACT(注音符號按鍵!$BB22, 注音編碼對照表[鍵盤按鍵]), 0))</f>
        <v>u</v>
      </c>
      <c r="BF22" s="350" t="str" cm="1">
        <f t="array" ref="BF22" xml:space="preserve"> INDEX( 注音編碼對照表[台語音標], MATCH(TRUE, EXACT(注音符號按鍵!$BB22, 注音編碼對照表[鍵盤按鍵]), 0))</f>
        <v>u</v>
      </c>
      <c r="BG22" s="95"/>
      <c r="BI22" s="137" t="str">
        <f t="shared" si="1"/>
        <v>"j": { commit: "ㄨ" }</v>
      </c>
      <c r="BK22" s="106">
        <f t="shared" si="2"/>
        <v>19</v>
      </c>
      <c r="BL22" s="138" t="str">
        <f t="shared" si="3"/>
        <v>- xform/u/j/</v>
      </c>
      <c r="BN22" s="138" t="str">
        <f t="shared" si="4"/>
        <v>- xform/j/ㄨ/</v>
      </c>
    </row>
    <row r="23" spans="1:80" s="106" customFormat="1" ht="45" customHeight="1">
      <c r="B23" s="158" t="s">
        <v>372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ppʰbmttʰnlʨʨʰʥɕkkʰgŋhiuaɔə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A23" s="136">
        <f t="shared" si="0"/>
        <v>20</v>
      </c>
      <c r="BB23" s="71" t="str">
        <f>注音編碼對照表!C26</f>
        <v>8</v>
      </c>
      <c r="BC23" s="351" t="str" cm="1">
        <f t="array" ref="BC23" xml:space="preserve"> INDEX( 注音編碼對照表[注音符號], MATCH(TRUE, EXACT(注音符號按鍵!$BB23, 注音編碼對照表[鍵盤按鍵]), 0))</f>
        <v>ㄚ</v>
      </c>
      <c r="BD23" s="352" t="str" cm="1">
        <f t="array" ref="BD23" xml:space="preserve"> INDEX( 注音編碼對照表[台語ㄅㄆㄇ], MATCH(TRUE, EXACT(注音符號按鍵!$BB23, 注音編碼對照表[鍵盤按鍵]), 0))</f>
        <v>ㄚ</v>
      </c>
      <c r="BE23" s="349" t="str" cm="1">
        <f t="array" ref="BE23" xml:space="preserve"> INDEX( 注音編碼對照表[國際音標], MATCH(TRUE, EXACT(注音符號按鍵!$BB23, 注音編碼對照表[鍵盤按鍵]), 0))</f>
        <v>a</v>
      </c>
      <c r="BF23" s="350" t="str" cm="1">
        <f t="array" ref="BF23" xml:space="preserve"> INDEX( 注音編碼對照表[台語音標], MATCH(TRUE, EXACT(注音符號按鍵!$BB23, 注音編碼對照表[鍵盤按鍵]), 0))</f>
        <v>a</v>
      </c>
      <c r="BG23" s="95"/>
      <c r="BI23" s="137" t="str">
        <f xml:space="preserve"> """" &amp; BB23 &amp; """: { commit: """ &amp; BC23 &amp; """ }"</f>
        <v>"8": { commit: "ㄚ" }</v>
      </c>
      <c r="BK23" s="106">
        <f>BA23</f>
        <v>20</v>
      </c>
      <c r="BL23" s="138" t="str">
        <f xml:space="preserve"> "- xform/" &amp; BE23 &amp; "/" &amp; BB23 &amp; "/"</f>
        <v>- xform/a/8/</v>
      </c>
      <c r="BN23" s="138" t="str">
        <f xml:space="preserve"> "- xform/" &amp; BB23 &amp; "/" &amp; BC23 &amp; "/"</f>
        <v>- xform/8/ㄚ/</v>
      </c>
    </row>
    <row r="24" spans="1:80" s="106" customFormat="1" ht="45" customHeight="1">
      <c r="B24" s="160" t="s">
        <v>373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328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36">
        <f t="shared" si="0"/>
        <v>21</v>
      </c>
      <c r="BB24" s="71" t="str">
        <f>注音編碼對照表!C27</f>
        <v>i</v>
      </c>
      <c r="BC24" s="351" t="str" cm="1">
        <f t="array" ref="BC24" xml:space="preserve"> INDEX( 注音編碼對照表[注音符號], MATCH(TRUE, EXACT(注音符號按鍵!$BB24, 注音編碼對照表[鍵盤按鍵]), 0))</f>
        <v>ㆦ</v>
      </c>
      <c r="BD24" s="352" t="str" cm="1">
        <f t="array" ref="BD24" xml:space="preserve"> INDEX( 注音編碼對照表[台語ㄅㄆㄇ], MATCH(TRUE, EXACT(注音符號按鍵!$BB24, 注音編碼對照表[鍵盤按鍵]), 0))</f>
        <v>ㆦ</v>
      </c>
      <c r="BE24" s="349" t="str" cm="1">
        <f t="array" ref="BE24" xml:space="preserve"> INDEX( 注音編碼對照表[國際音標], MATCH(TRUE, EXACT(注音符號按鍵!$BB24, 注音編碼對照表[鍵盤按鍵]), 0))</f>
        <v>ɔ</v>
      </c>
      <c r="BF24" s="350" t="str" cm="1">
        <f t="array" ref="BF24" xml:space="preserve"> INDEX( 注音編碼對照表[台語音標], MATCH(TRUE, EXACT(注音符號按鍵!$BB24, 注音編碼對照表[鍵盤按鍵]), 0))</f>
        <v>oo</v>
      </c>
      <c r="BG24" s="97"/>
      <c r="BI24" s="137" t="str">
        <f t="shared" ref="BI24:BI55" si="5" xml:space="preserve"> """" &amp; BB24 &amp; """: { commit: """ &amp; BC24 &amp; """ }"</f>
        <v>"i": { commit: "ㆦ" }</v>
      </c>
      <c r="BK24" s="106">
        <f t="shared" ref="BK24:BK63" si="6">BA23</f>
        <v>20</v>
      </c>
      <c r="BL24" s="138" t="str">
        <f t="shared" ref="BL24:BL55" si="7" xml:space="preserve"> "- xform/" &amp; BE24 &amp; "/" &amp; BB24 &amp; "/"</f>
        <v>- xform/ɔ/i/</v>
      </c>
      <c r="BN24" s="138" t="str">
        <f t="shared" ref="BN24:BN55" si="8" xml:space="preserve"> "- xform/" &amp; BB24 &amp; "/" &amp; BC24 &amp; "/"</f>
        <v>- xform/i/ㆦ/</v>
      </c>
    </row>
    <row r="25" spans="1:80" s="106" customFormat="1" ht="45" customHeight="1">
      <c r="B25" s="162" t="s">
        <v>262</v>
      </c>
      <c r="C25" s="163"/>
      <c r="D25" s="164">
        <f ca="1" xml:space="preserve"> LEN(E25)</f>
        <v>62</v>
      </c>
      <c r="E25" s="164" t="str">
        <f ca="1" xml:space="preserve"> _xlfn.CONCAT(D21:AZ21)</f>
        <v>ppʰbmttʰnlʨʨʰʥɕkkʰgŋhiuaɔəeaiɑuanɑŋɨĩũãɔ̃ẽãĩãũamɔŋŋ̍nm̩ɲ000000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36">
        <f t="shared" si="0"/>
        <v>22</v>
      </c>
      <c r="BB25" s="71" t="str">
        <f>注音編碼對照表!C28</f>
        <v>k</v>
      </c>
      <c r="BC25" s="351" t="str" cm="1">
        <f t="array" ref="BC25" xml:space="preserve"> INDEX( 注音編碼對照表[注音符號], MATCH(TRUE, EXACT(注音符號按鍵!$BB25, 注音編碼對照表[鍵盤按鍵]), 0))</f>
        <v>ㄜ</v>
      </c>
      <c r="BD25" s="352" t="str" cm="1">
        <f t="array" ref="BD25" xml:space="preserve"> INDEX( 注音編碼對照表[台語ㄅㄆㄇ], MATCH(TRUE, EXACT(注音符號按鍵!$BB25, 注音編碼對照表[鍵盤按鍵]), 0))</f>
        <v>ㄜ</v>
      </c>
      <c r="BE25" s="349" t="str" cm="1">
        <f t="array" ref="BE25" xml:space="preserve"> INDEX( 注音編碼對照表[國際音標], MATCH(TRUE, EXACT(注音符號按鍵!$BB25, 注音編碼對照表[鍵盤按鍵]), 0))</f>
        <v>ə</v>
      </c>
      <c r="BF25" s="350" t="str" cm="1">
        <f t="array" ref="BF25" xml:space="preserve"> INDEX( 注音編碼對照表[台語音標], MATCH(TRUE, EXACT(注音符號按鍵!$BB25, 注音編碼對照表[鍵盤按鍵]), 0))</f>
        <v>o</v>
      </c>
      <c r="BG25" s="95"/>
      <c r="BI25" s="137" t="str">
        <f t="shared" si="5"/>
        <v>"k": { commit: "ㄜ" }</v>
      </c>
      <c r="BK25" s="106">
        <f t="shared" si="6"/>
        <v>21</v>
      </c>
      <c r="BL25" s="138" t="str">
        <f t="shared" si="7"/>
        <v>- xform/ə/k/</v>
      </c>
      <c r="BN25" s="138" t="str">
        <f t="shared" si="8"/>
        <v>- xform/k/ㄜ/</v>
      </c>
    </row>
    <row r="26" spans="1:80" s="169" customFormat="1" ht="45" customHeight="1">
      <c r="A26" s="106"/>
      <c r="B26" s="165" t="s">
        <v>374</v>
      </c>
      <c r="C26" s="166"/>
      <c r="D26" s="167">
        <f ca="1" xml:space="preserve"> LEN(E26)</f>
        <v>47</v>
      </c>
      <c r="E26" s="167" t="str">
        <f ca="1" xml:space="preserve"> _xlfn.CONCAT(D17:AZ17)</f>
        <v>1q!a2wsxYHBNedEgcuj8ik,9l0;-UJ*I&lt;(LMo/pm. 43657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36">
        <f t="shared" si="0"/>
        <v>23</v>
      </c>
      <c r="BB26" s="71" t="str">
        <f>注音編碼對照表!C29</f>
        <v>,</v>
      </c>
      <c r="BC26" s="351" t="str" cm="1">
        <f t="array" ref="BC26" xml:space="preserve"> INDEX( 注音編碼對照表[注音符號], MATCH(TRUE, EXACT(注音符號按鍵!$BB26, 注音編碼對照表[鍵盤按鍵]), 0))</f>
        <v>ㆤ</v>
      </c>
      <c r="BD26" s="352" t="str" cm="1">
        <f t="array" ref="BD26" xml:space="preserve"> INDEX( 注音編碼對照表[台語ㄅㄆㄇ], MATCH(TRUE, EXACT(注音符號按鍵!$BB26, 注音編碼對照表[鍵盤按鍵]), 0))</f>
        <v>ㆤ</v>
      </c>
      <c r="BE26" s="349" t="str" cm="1">
        <f t="array" ref="BE26" xml:space="preserve"> INDEX( 注音編碼對照表[國際音標], MATCH(TRUE, EXACT(注音符號按鍵!$BB26, 注音編碼對照表[鍵盤按鍵]), 0))</f>
        <v>e</v>
      </c>
      <c r="BF26" s="350" t="str" cm="1">
        <f t="array" ref="BF26" xml:space="preserve"> INDEX( 注音編碼對照表[台語音標], MATCH(TRUE, EXACT(注音符號按鍵!$BB26, 注音編碼對照表[鍵盤按鍵]), 0))</f>
        <v>e</v>
      </c>
      <c r="BG26" s="95"/>
      <c r="BH26" s="106"/>
      <c r="BI26" s="137" t="str">
        <f t="shared" si="5"/>
        <v>",": { commit: "ㆤ" }</v>
      </c>
      <c r="BJ26" s="106"/>
      <c r="BK26" s="106">
        <f t="shared" si="6"/>
        <v>22</v>
      </c>
      <c r="BL26" s="138" t="str">
        <f t="shared" si="7"/>
        <v>- xform/e/,/</v>
      </c>
      <c r="BM26" s="106"/>
      <c r="BN26" s="138" t="str">
        <f t="shared" si="8"/>
        <v>- xform/,/ㆤ/</v>
      </c>
      <c r="BO26" s="106"/>
      <c r="BP26" s="106"/>
      <c r="BQ26" s="106"/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</row>
    <row r="27" spans="1:80" s="106" customFormat="1" ht="45" customHeight="1">
      <c r="A27" s="169"/>
      <c r="B27" s="170" t="str">
        <f ca="1" xml:space="preserve"> "- xlit|" &amp; E25 &amp; "|" &amp; E26 &amp; "|"</f>
        <v>- xlit|ppʰbmttʰnlʨʨʰʥɕkkʰgŋhiuaɔəeaiɑuanɑŋɨĩũãɔ̃ẽãĩãũamɔŋŋ̍nm̩ɲ000000|1q!a2wsxYHBNedEgcuj8ik,9l0;-UJ*I&lt;(LMo/pm. 43657|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36">
        <f t="shared" si="0"/>
        <v>24</v>
      </c>
      <c r="BB27" s="71" t="str">
        <f>注音編碼對照表!C38</f>
        <v>9</v>
      </c>
      <c r="BC27" s="351" t="str" cm="1">
        <f t="array" ref="BC27" xml:space="preserve"> INDEX( 注音編碼對照表[注音符號], MATCH(TRUE, EXACT(注音符號按鍵!$BB27, 注音編碼對照表[鍵盤按鍵]), 0))</f>
        <v>ㄞ</v>
      </c>
      <c r="BD27" s="352" t="str" cm="1">
        <f t="array" ref="BD27" xml:space="preserve"> INDEX( 注音編碼對照表[台語ㄅㄆㄇ], MATCH(TRUE, EXACT(注音符號按鍵!$BB27, 注音編碼對照表[鍵盤按鍵]), 0))</f>
        <v>ㄞ</v>
      </c>
      <c r="BE27" s="349" t="str" cm="1">
        <f t="array" ref="BE27" xml:space="preserve"> INDEX( 注音編碼對照表[國際音標], MATCH(TRUE, EXACT(注音符號按鍵!$BB27, 注音編碼對照表[鍵盤按鍵]), 0))</f>
        <v>ai</v>
      </c>
      <c r="BF27" s="350" t="str" cm="1">
        <f t="array" ref="BF27" xml:space="preserve"> INDEX( 注音編碼對照表[台語音標], MATCH(TRUE, EXACT(注音符號按鍵!$BB27, 注音編碼對照表[鍵盤按鍵]), 0))</f>
        <v>ai</v>
      </c>
      <c r="BG27" s="95"/>
      <c r="BH27" s="169"/>
      <c r="BI27" s="137" t="str">
        <f t="shared" si="5"/>
        <v>"9": { commit: "ㄞ" }</v>
      </c>
      <c r="BJ27" s="169"/>
      <c r="BK27" s="169">
        <f t="shared" si="6"/>
        <v>23</v>
      </c>
      <c r="BL27" s="138" t="str">
        <f t="shared" si="7"/>
        <v>- xform/ai/9/</v>
      </c>
      <c r="BM27" s="169"/>
      <c r="BN27" s="138" t="str">
        <f t="shared" si="8"/>
        <v>- xform/9/ㄞ/</v>
      </c>
      <c r="BO27" s="169"/>
      <c r="BP27" s="169"/>
      <c r="BQ27" s="169"/>
      <c r="BR27" s="169"/>
      <c r="BS27" s="169"/>
      <c r="BT27" s="169"/>
      <c r="BU27" s="169"/>
      <c r="BV27" s="169"/>
      <c r="BW27" s="169"/>
      <c r="BX27" s="169"/>
      <c r="BY27" s="169"/>
      <c r="BZ27" s="169"/>
      <c r="CA27" s="169"/>
      <c r="CB27" s="169"/>
    </row>
    <row r="28" spans="1:80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36">
        <f t="shared" si="0"/>
        <v>25</v>
      </c>
      <c r="BB28" s="71" t="str">
        <f>注音編碼對照表!C42</f>
        <v>l</v>
      </c>
      <c r="BC28" s="351" t="str" cm="1">
        <f t="array" ref="BC28" xml:space="preserve"> INDEX( 注音編碼對照表[注音符號], MATCH(TRUE, EXACT(注音符號按鍵!$BB28, 注音編碼對照表[鍵盤按鍵]), 0))</f>
        <v>ㄠ</v>
      </c>
      <c r="BD28" s="352" t="str" cm="1">
        <f t="array" ref="BD28" xml:space="preserve"> INDEX( 注音編碼對照表[台語ㄅㄆㄇ], MATCH(TRUE, EXACT(注音符號按鍵!$BB28, 注音編碼對照表[鍵盤按鍵]), 0))</f>
        <v>ㄠ</v>
      </c>
      <c r="BE28" s="349" t="str" cm="1">
        <f t="array" ref="BE28" xml:space="preserve"> INDEX( 注音編碼對照表[國際音標], MATCH(TRUE, EXACT(注音符號按鍵!$BB28, 注音編碼對照表[鍵盤按鍵]), 0))</f>
        <v>ɑu</v>
      </c>
      <c r="BF28" s="350" t="str" cm="1">
        <f t="array" ref="BF28" xml:space="preserve"> INDEX( 注音編碼對照表[台語音標], MATCH(TRUE, EXACT(注音符號按鍵!$BB28, 注音編碼對照表[鍵盤按鍵]), 0))</f>
        <v>au</v>
      </c>
      <c r="BG28" s="95"/>
      <c r="BI28" s="137" t="str">
        <f t="shared" si="5"/>
        <v>"l": { commit: "ㄠ" }</v>
      </c>
      <c r="BK28" s="106">
        <f t="shared" si="6"/>
        <v>24</v>
      </c>
      <c r="BL28" s="138" t="str">
        <f t="shared" si="7"/>
        <v>- xform/ɑu/l/</v>
      </c>
      <c r="BN28" s="138" t="str">
        <f t="shared" si="8"/>
        <v>- xform/l/ㄠ/</v>
      </c>
    </row>
    <row r="29" spans="1:80" s="106" customFormat="1" ht="45" customHeight="1">
      <c r="B29" s="162"/>
      <c r="C29" s="163"/>
      <c r="D29" s="164">
        <f ca="1" xml:space="preserve"> LEN(E29)</f>
        <v>60</v>
      </c>
      <c r="E29" s="164" t="str">
        <f ca="1">SUBSTITUTE(SUBSTITUTE(E25, "b", ""), "g", "")</f>
        <v>ppʰmttʰnlʨʨʰʥɕkkʰŋhiuaɔəeaiɑuanɑŋɨĩũãɔ̃ẽãĩãũamɔŋŋ̍nm̩ɲ000000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36">
        <f t="shared" si="0"/>
        <v>26</v>
      </c>
      <c r="BB29" s="71" t="str">
        <f>注音編碼對照表!C39</f>
        <v>0</v>
      </c>
      <c r="BC29" s="351" t="str" cm="1">
        <f t="array" ref="BC29" xml:space="preserve"> INDEX( 注音編碼對照表[注音符號], MATCH(TRUE, EXACT(注音符號按鍵!$BB29, 注音編碼對照表[鍵盤按鍵]), 0))</f>
        <v>ㄢ</v>
      </c>
      <c r="BD29" s="352" t="str" cm="1">
        <f t="array" ref="BD29" xml:space="preserve"> INDEX( 注音編碼對照表[台語ㄅㄆㄇ], MATCH(TRUE, EXACT(注音符號按鍵!$BB29, 注音編碼對照表[鍵盤按鍵]), 0))</f>
        <v>ㄢ</v>
      </c>
      <c r="BE29" s="349" t="str" cm="1">
        <f t="array" ref="BE29" xml:space="preserve"> INDEX( 注音編碼對照表[國際音標], MATCH(TRUE, EXACT(注音符號按鍵!$BB29, 注音編碼對照表[鍵盤按鍵]), 0))</f>
        <v>an</v>
      </c>
      <c r="BF29" s="350" t="str" cm="1">
        <f t="array" ref="BF29" xml:space="preserve"> INDEX( 注音編碼對照表[台語音標], MATCH(TRUE, EXACT(注音符號按鍵!$BB29, 注音編碼對照表[鍵盤按鍵]), 0))</f>
        <v>an</v>
      </c>
      <c r="BG29" s="95"/>
      <c r="BI29" s="137" t="str">
        <f t="shared" si="5"/>
        <v>"0": { commit: "ㄢ" }</v>
      </c>
      <c r="BK29" s="106">
        <f t="shared" si="6"/>
        <v>25</v>
      </c>
      <c r="BL29" s="138" t="str">
        <f t="shared" si="7"/>
        <v>- xform/an/0/</v>
      </c>
      <c r="BN29" s="138" t="str">
        <f t="shared" si="8"/>
        <v>- xform/0/ㄢ/</v>
      </c>
    </row>
    <row r="30" spans="1:80" s="106" customFormat="1" ht="45" customHeight="1">
      <c r="B30" s="165"/>
      <c r="C30" s="166"/>
      <c r="D30" s="167">
        <f ca="1" xml:space="preserve"> LEN(E30)</f>
        <v>45</v>
      </c>
      <c r="E30" s="167" t="str">
        <f ca="1">SUBSTITUTE(SUBSTITUTE(E26, "!", ""), "E", "")</f>
        <v>1qa2wsxYHBNedgcuj8ik,9l0;-UJ*I&lt;(LMo/pm. 43657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36">
        <f t="shared" si="0"/>
        <v>27</v>
      </c>
      <c r="BB30" s="71" t="str">
        <f>注音編碼對照表!C40</f>
        <v>;</v>
      </c>
      <c r="BC30" s="351" t="str" cm="1">
        <f t="array" ref="BC30" xml:space="preserve"> INDEX( 注音編碼對照表[注音符號], MATCH(TRUE, EXACT(注音符號按鍵!$BB30, 注音編碼對照表[鍵盤按鍵]), 0))</f>
        <v>ㄤ</v>
      </c>
      <c r="BD30" s="352" t="str" cm="1">
        <f t="array" ref="BD30" xml:space="preserve"> INDEX( 注音編碼對照表[台語ㄅㄆㄇ], MATCH(TRUE, EXACT(注音符號按鍵!$BB30, 注音編碼對照表[鍵盤按鍵]), 0))</f>
        <v>ㄤ</v>
      </c>
      <c r="BE30" s="349" t="str" cm="1">
        <f t="array" ref="BE30" xml:space="preserve"> INDEX( 注音編碼對照表[國際音標], MATCH(TRUE, EXACT(注音符號按鍵!$BB30, 注音編碼對照表[鍵盤按鍵]), 0))</f>
        <v>ɑŋ</v>
      </c>
      <c r="BF30" s="350" t="str" cm="1">
        <f t="array" ref="BF30" xml:space="preserve"> INDEX( 注音編碼對照表[台語音標], MATCH(TRUE, EXACT(注音符號按鍵!$BB30, 注音編碼對照表[鍵盤按鍵]), 0))</f>
        <v>ang</v>
      </c>
      <c r="BG30" s="95"/>
      <c r="BI30" s="137" t="str">
        <f t="shared" si="5"/>
        <v>";": { commit: "ㄤ" }</v>
      </c>
      <c r="BK30" s="106">
        <f t="shared" si="6"/>
        <v>26</v>
      </c>
      <c r="BL30" s="138" t="str">
        <f t="shared" si="7"/>
        <v>- xform/ɑŋ/;/</v>
      </c>
      <c r="BN30" s="138" t="str">
        <f t="shared" si="8"/>
        <v>- xform/;/ㄤ/</v>
      </c>
    </row>
    <row r="31" spans="1:80" s="106" customFormat="1" ht="45" customHeight="1">
      <c r="B31" s="170" t="str">
        <f ca="1" xml:space="preserve"> "- xlit|" &amp; E29 &amp; "|" &amp; E30 &amp; "|"</f>
        <v>- xlit|ppʰmttʰnlʨʨʰʥɕkkʰŋhiuaɔəeaiɑuanɑŋɨĩũãɔ̃ẽãĩãũamɔŋŋ̍nm̩ɲ000000|1qa2wsxYHBNedgcuj8ik,9l0;-UJ*I&lt;(LMo/pm. 43657|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36">
        <f t="shared" si="0"/>
        <v>28</v>
      </c>
      <c r="BB31" s="71" t="str">
        <f>注音編碼對照表!C37</f>
        <v>-</v>
      </c>
      <c r="BC31" s="351" t="str" cm="1">
        <f t="array" ref="BC31" xml:space="preserve"> INDEX( 注音編碼對照表[注音符號], MATCH(TRUE, EXACT(注音符號按鍵!$BB31, 注音編碼對照表[鍵盤按鍵]), 0))</f>
        <v>ㆨ</v>
      </c>
      <c r="BD31" s="352" t="str" cm="1">
        <f t="array" ref="BD31" xml:space="preserve"> INDEX( 注音編碼對照表[台語ㄅㄆㄇ], MATCH(TRUE, EXACT(注音符號按鍵!$BB31, 注音編碼對照表[鍵盤按鍵]), 0))</f>
        <v>ㄦ</v>
      </c>
      <c r="BE31" s="349" t="str" cm="1">
        <f t="array" ref="BE31" xml:space="preserve"> INDEX( 注音編碼對照表[國際音標], MATCH(TRUE, EXACT(注音符號按鍵!$BB31, 注音編碼對照表[鍵盤按鍵]), 0))</f>
        <v>ɨ</v>
      </c>
      <c r="BF31" s="350" t="str" cm="1">
        <f t="array" ref="BF31" xml:space="preserve"> INDEX( 注音編碼對照表[台語音標], MATCH(TRUE, EXACT(注音符號按鍵!$BB31, 注音編碼對照表[鍵盤按鍵]), 0))</f>
        <v>ir</v>
      </c>
      <c r="BG31" s="95"/>
      <c r="BI31" s="137" t="str">
        <f t="shared" si="5"/>
        <v>"-": { commit: "ㆨ" }</v>
      </c>
      <c r="BK31" s="106">
        <f t="shared" si="6"/>
        <v>27</v>
      </c>
      <c r="BL31" s="138" t="str">
        <f t="shared" si="7"/>
        <v>- xform/ɨ/-/</v>
      </c>
      <c r="BN31" s="138" t="str">
        <f t="shared" si="8"/>
        <v>- xform/-/ㆨ/</v>
      </c>
    </row>
    <row r="32" spans="1:80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36">
        <f t="shared" si="0"/>
        <v>29</v>
      </c>
      <c r="BB32" s="71" t="str">
        <f>注音編碼對照表!C30</f>
        <v>U</v>
      </c>
      <c r="BC32" s="351" t="str" cm="1">
        <f t="array" ref="BC32" xml:space="preserve"> INDEX( 注音編碼對照表[注音符號], MATCH(TRUE, EXACT(注音符號按鍵!$BB32, 注音編碼對照表[鍵盤按鍵]), 0))</f>
        <v>ㆪ</v>
      </c>
      <c r="BD32" s="352" t="str" cm="1">
        <f t="array" ref="BD32" xml:space="preserve"> INDEX( 注音編碼對照表[台語ㄅㄆㄇ], MATCH(TRUE, EXACT(注音符號按鍵!$BB32, 注音編碼對照表[鍵盤按鍵]), 0))</f>
        <v>ㆪ</v>
      </c>
      <c r="BE32" s="349" t="str" cm="1">
        <f t="array" ref="BE32" xml:space="preserve"> INDEX( 注音編碼對照表[國際音標], MATCH(TRUE, EXACT(注音符號按鍵!$BB32, 注音編碼對照表[鍵盤按鍵]), 0))</f>
        <v>ĩ</v>
      </c>
      <c r="BF32" s="350" t="str" cm="1">
        <f t="array" ref="BF32" xml:space="preserve"> INDEX( 注音編碼對照表[台語音標], MATCH(TRUE, EXACT(注音符號按鍵!$BB32, 注音編碼對照表[鍵盤按鍵]), 0))</f>
        <v>inn</v>
      </c>
      <c r="BG32" s="95"/>
      <c r="BI32" s="137" t="str">
        <f t="shared" si="5"/>
        <v>"U": { commit: "ㆪ" }</v>
      </c>
      <c r="BK32" s="106">
        <f t="shared" si="6"/>
        <v>28</v>
      </c>
      <c r="BL32" s="138" t="str">
        <f t="shared" si="7"/>
        <v>- xform/ĩ/U/</v>
      </c>
      <c r="BN32" s="138" t="str">
        <f t="shared" si="8"/>
        <v>- xform/U/ㆪ/</v>
      </c>
    </row>
    <row r="33" spans="1:80" s="106" customFormat="1" ht="45" customHeight="1">
      <c r="B33" s="174" t="s">
        <v>375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36">
        <f t="shared" si="0"/>
        <v>30</v>
      </c>
      <c r="BB33" s="71" t="str">
        <f>注音編碼對照表!C31</f>
        <v>J</v>
      </c>
      <c r="BC33" s="351" t="str" cm="1">
        <f t="array" ref="BC33" xml:space="preserve"> INDEX( 注音編碼對照表[注音符號], MATCH(TRUE, EXACT(注音符號按鍵!$BB33, 注音編碼對照表[鍵盤按鍵]), 0))</f>
        <v>ㆫ</v>
      </c>
      <c r="BD33" s="352" t="str" cm="1">
        <f t="array" ref="BD33" xml:space="preserve"> INDEX( 注音編碼對照表[台語ㄅㄆㄇ], MATCH(TRUE, EXACT(注音符號按鍵!$BB33, 注音編碼對照表[鍵盤按鍵]), 0))</f>
        <v>ㆫ</v>
      </c>
      <c r="BE33" s="349" t="str" cm="1">
        <f t="array" ref="BE33" xml:space="preserve"> INDEX( 注音編碼對照表[國際音標], MATCH(TRUE, EXACT(注音符號按鍵!$BB33, 注音編碼對照表[鍵盤按鍵]), 0))</f>
        <v>ũ</v>
      </c>
      <c r="BF33" s="350" t="str" cm="1">
        <f t="array" ref="BF33" xml:space="preserve"> INDEX( 注音編碼對照表[台語音標], MATCH(TRUE, EXACT(注音符號按鍵!$BB33, 注音編碼對照表[鍵盤按鍵]), 0))</f>
        <v>unn</v>
      </c>
      <c r="BG33" s="95"/>
      <c r="BI33" s="137" t="str">
        <f t="shared" si="5"/>
        <v>"J": { commit: "ㆫ" }</v>
      </c>
      <c r="BK33" s="106">
        <f t="shared" si="6"/>
        <v>29</v>
      </c>
      <c r="BL33" s="138" t="str">
        <f t="shared" si="7"/>
        <v>- xform/ũ/J/</v>
      </c>
      <c r="BN33" s="138" t="str">
        <f t="shared" si="8"/>
        <v>- xform/J/ㆫ/</v>
      </c>
    </row>
    <row r="34" spans="1:80" s="106" customFormat="1" ht="45" customHeight="1">
      <c r="B34" s="160" t="s">
        <v>376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36">
        <f t="shared" si="0"/>
        <v>31</v>
      </c>
      <c r="BB34" s="71" t="str">
        <f>注音編碼對照表!C32</f>
        <v>*</v>
      </c>
      <c r="BC34" s="351" t="str" cm="1">
        <f t="array" ref="BC34" xml:space="preserve"> INDEX( 注音編碼對照表[注音符號], MATCH(TRUE, EXACT(注音符號按鍵!$BB34, 注音編碼對照表[鍵盤按鍵]), 0))</f>
        <v>ㆩ</v>
      </c>
      <c r="BD34" s="352" t="str" cm="1">
        <f t="array" ref="BD34" xml:space="preserve"> INDEX( 注音編碼對照表[台語ㄅㄆㄇ], MATCH(TRUE, EXACT(注音符號按鍵!$BB34, 注音編碼對照表[鍵盤按鍵]), 0))</f>
        <v>ㆩ</v>
      </c>
      <c r="BE34" s="349" t="str" cm="1">
        <f t="array" ref="BE34" xml:space="preserve"> INDEX( 注音編碼對照表[國際音標], MATCH(TRUE, EXACT(注音符號按鍵!$BB34, 注音編碼對照表[鍵盤按鍵]), 0))</f>
        <v>ã</v>
      </c>
      <c r="BF34" s="350" t="str" cm="1">
        <f t="array" ref="BF34" xml:space="preserve"> INDEX( 注音編碼對照表[台語音標], MATCH(TRUE, EXACT(注音符號按鍵!$BB34, 注音編碼對照表[鍵盤按鍵]), 0))</f>
        <v>ann</v>
      </c>
      <c r="BG34" s="95"/>
      <c r="BI34" s="137" t="str">
        <f t="shared" si="5"/>
        <v>"*": { commit: "ㆩ" }</v>
      </c>
      <c r="BK34" s="106">
        <f t="shared" si="6"/>
        <v>30</v>
      </c>
      <c r="BL34" s="138" t="str">
        <f t="shared" si="7"/>
        <v>- xform/ã/*/</v>
      </c>
      <c r="BN34" s="138" t="str">
        <f t="shared" si="8"/>
        <v>- xform/*/ㆩ/</v>
      </c>
    </row>
    <row r="35" spans="1:80" s="106" customFormat="1" ht="45" customHeight="1">
      <c r="B35" s="175" t="s">
        <v>243</v>
      </c>
      <c r="C35" s="176"/>
      <c r="D35" s="176">
        <f ca="1" xml:space="preserve"> LEN(E35)</f>
        <v>47</v>
      </c>
      <c r="E35" s="177" t="str">
        <f ca="1" xml:space="preserve"> _xlfn.CONCAT(D17:AZ17)</f>
        <v>1q!a2wsxYHBNedEgcuj8ik,9l0;-UJ*I&lt;(LMo/pm. 43657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36">
        <f t="shared" si="0"/>
        <v>32</v>
      </c>
      <c r="BB35" s="71" t="str">
        <f>注音編碼對照表!C33</f>
        <v>I</v>
      </c>
      <c r="BC35" s="351" t="str" cm="1">
        <f t="array" ref="BC35" xml:space="preserve"> INDEX( 注音編碼對照表[注音符號], MATCH(TRUE, EXACT(注音符號按鍵!$BB35, 注音編碼對照表[鍵盤按鍵]), 0))</f>
        <v>ㆧ</v>
      </c>
      <c r="BD35" s="352" t="str" cm="1">
        <f t="array" ref="BD35" xml:space="preserve"> INDEX( 注音編碼對照表[台語ㄅㄆㄇ], MATCH(TRUE, EXACT(注音符號按鍵!$BB35, 注音編碼對照表[鍵盤按鍵]), 0))</f>
        <v>ㆧ</v>
      </c>
      <c r="BE35" s="349" t="str" cm="1">
        <f t="array" ref="BE35" xml:space="preserve"> INDEX( 注音編碼對照表[國際音標], MATCH(TRUE, EXACT(注音符號按鍵!$BB35, 注音編碼對照表[鍵盤按鍵]), 0))</f>
        <v>ɔ̃</v>
      </c>
      <c r="BF35" s="350" t="str" cm="1">
        <f t="array" ref="BF35" xml:space="preserve"> INDEX( 注音編碼對照表[台語音標], MATCH(TRUE, EXACT(注音符號按鍵!$BB35, 注音編碼對照表[鍵盤按鍵]), 0))</f>
        <v>onn</v>
      </c>
      <c r="BG35" s="95"/>
      <c r="BI35" s="137" t="str">
        <f t="shared" si="5"/>
        <v>"I": { commit: "ㆧ" }</v>
      </c>
      <c r="BK35" s="106">
        <f t="shared" si="6"/>
        <v>31</v>
      </c>
      <c r="BL35" s="138" t="str">
        <f t="shared" si="7"/>
        <v>- xform/ɔ̃/I/</v>
      </c>
      <c r="BN35" s="138" t="str">
        <f t="shared" si="8"/>
        <v>- xform/I/ㆧ/</v>
      </c>
    </row>
    <row r="36" spans="1:80" s="106" customFormat="1" ht="45" customHeight="1">
      <c r="B36" s="178" t="s">
        <v>15</v>
      </c>
      <c r="C36" s="179"/>
      <c r="D36" s="179">
        <f ca="1">LEN(E36)</f>
        <v>49</v>
      </c>
      <c r="E36" s="178" t="str">
        <f ca="1" xml:space="preserve"> _xlfn.CONCAT(D19:AZ19)</f>
        <v>ㄅㄆㆠㄇㄉㄊㄋㄌㄐㄑㆢㄒㄍㄎㆣㄥㄏㄧㄨㄚㆦㄜㆤㄞㄠㄢㄤㄦㆪㆫㆩㆧㆥㆮㆯㄚㄇㄛㄥㄥㄣㄇˉˋˇˊ+˙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265</v>
      </c>
      <c r="AN36" s="180" t="s">
        <v>281</v>
      </c>
      <c r="AO36" s="180" t="s">
        <v>328</v>
      </c>
      <c r="AP36" s="180" t="s">
        <v>271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36">
        <f t="shared" si="0"/>
        <v>33</v>
      </c>
      <c r="BB36" s="71" t="str">
        <f>注音編碼對照表!C34</f>
        <v>&lt;</v>
      </c>
      <c r="BC36" s="351" t="str" cm="1">
        <f t="array" ref="BC36" xml:space="preserve"> INDEX( 注音編碼對照表[注音符號], MATCH(TRUE, EXACT(注音符號按鍵!$BB36, 注音編碼對照表[鍵盤按鍵]), 0))</f>
        <v>ㆥ</v>
      </c>
      <c r="BD36" s="352" t="str" cm="1">
        <f t="array" ref="BD36" xml:space="preserve"> INDEX( 注音編碼對照表[台語ㄅㄆㄇ], MATCH(TRUE, EXACT(注音符號按鍵!$BB36, 注音編碼對照表[鍵盤按鍵]), 0))</f>
        <v>ㆥ</v>
      </c>
      <c r="BE36" s="349" t="str" cm="1">
        <f t="array" ref="BE36" xml:space="preserve"> INDEX( 注音編碼對照表[國際音標], MATCH(TRUE, EXACT(注音符號按鍵!$BB36, 注音編碼對照表[鍵盤按鍵]), 0))</f>
        <v>ẽ</v>
      </c>
      <c r="BF36" s="350" t="str" cm="1">
        <f t="array" ref="BF36" xml:space="preserve"> INDEX( 注音編碼對照表[台語音標], MATCH(TRUE, EXACT(注音符號按鍵!$BB36, 注音編碼對照表[鍵盤按鍵]), 0))</f>
        <v>enn</v>
      </c>
      <c r="BG36" s="95"/>
      <c r="BI36" s="137" t="str">
        <f t="shared" si="5"/>
        <v>"&lt;": { commit: "ㆥ" }</v>
      </c>
      <c r="BK36" s="106">
        <f t="shared" si="6"/>
        <v>32</v>
      </c>
      <c r="BL36" s="138" t="str">
        <f t="shared" si="7"/>
        <v>- xform/ẽ/&lt;/</v>
      </c>
      <c r="BN36" s="138" t="str">
        <f t="shared" si="8"/>
        <v>- xform/&lt;/ㆥ/</v>
      </c>
    </row>
    <row r="37" spans="1:80" s="106" customFormat="1" ht="45" customHeight="1">
      <c r="B37" s="170" t="str">
        <f ca="1" xml:space="preserve"> "- xlit|" &amp; E35 &amp; "|" &amp; E36 &amp; "|"</f>
        <v>- xlit|1q!a2wsxYHBNedEgcuj8ik,9l0;-UJ*I&lt;(LMo/pm. 43657|ㄅㄆㆠㄇㄉㄊㄋㄌㄐㄑㆢㄒㄍㄎㆣㄥㄏㄧㄨㄚㆦㄜㆤㄞㄠㄢㄤㄦㆪㆫㆩㆧㆥㆮㆯㄚㄇㄛㄥㄥㄣㄇˉˋˇˊ+˙|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15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 t="e">
        <f ca="1" xml:space="preserve"> FIND(AQ36, $E$35)</f>
        <v>#VALUE!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36">
        <f t="shared" si="0"/>
        <v>34</v>
      </c>
      <c r="BB37" s="71" t="str">
        <f>注音編碼對照表!C35</f>
        <v>(</v>
      </c>
      <c r="BC37" s="351" t="str" cm="1">
        <f t="array" ref="BC37" xml:space="preserve"> INDEX( 注音編碼對照表[注音符號], MATCH(TRUE, EXACT(注音符號按鍵!$BB37, 注音編碼對照表[鍵盤按鍵]), 0))</f>
        <v>ㆮ</v>
      </c>
      <c r="BD37" s="352" t="str" cm="1">
        <f t="array" ref="BD37" xml:space="preserve"> INDEX( 注音編碼對照表[台語ㄅㄆㄇ], MATCH(TRUE, EXACT(注音符號按鍵!$BB37, 注音編碼對照表[鍵盤按鍵]), 0))</f>
        <v>ㆮ</v>
      </c>
      <c r="BE37" s="349" t="str" cm="1">
        <f t="array" ref="BE37" xml:space="preserve"> INDEX( 注音編碼對照表[國際音標], MATCH(TRUE, EXACT(注音符號按鍵!$BB37, 注音編碼對照表[鍵盤按鍵]), 0))</f>
        <v>ãĩ</v>
      </c>
      <c r="BF37" s="350" t="str" cm="1">
        <f t="array" ref="BF37" xml:space="preserve"> INDEX( 注音編碼對照表[台語音標], MATCH(TRUE, EXACT(注音符號按鍵!$BB37, 注音編碼對照表[鍵盤按鍵]), 0))</f>
        <v>ainn</v>
      </c>
      <c r="BG37" s="95"/>
      <c r="BI37" s="137" t="str">
        <f t="shared" si="5"/>
        <v>"(": { commit: "ㆮ" }</v>
      </c>
      <c r="BK37" s="106">
        <f t="shared" si="6"/>
        <v>33</v>
      </c>
      <c r="BL37" s="138" t="str">
        <f t="shared" si="7"/>
        <v>- xform/ãĩ/(/</v>
      </c>
      <c r="BN37" s="138" t="str">
        <f t="shared" si="8"/>
        <v>- xform/(/ㆮ/</v>
      </c>
    </row>
    <row r="38" spans="1:80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ㆠ</v>
      </c>
      <c r="AN38" s="180" t="str">
        <f ca="1" xml:space="preserve"> MID($E$36,AN37,1)</f>
        <v>ㆣ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e">
        <f ca="1" xml:space="preserve"> MID($E$36,AQ37,1)</f>
        <v>#VALUE!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36">
        <f t="shared" si="0"/>
        <v>35</v>
      </c>
      <c r="BB38" s="71" t="str">
        <f>注音編碼對照表!C36</f>
        <v>L</v>
      </c>
      <c r="BC38" s="351" t="str" cm="1">
        <f t="array" ref="BC38" xml:space="preserve"> INDEX( 注音編碼對照表[注音符號], MATCH(TRUE, EXACT(注音符號按鍵!$BB38, 注音編碼對照表[鍵盤按鍵]), 0))</f>
        <v>ㆯ</v>
      </c>
      <c r="BD38" s="352" t="str" cm="1">
        <f t="array" ref="BD38" xml:space="preserve"> INDEX( 注音編碼對照表[台語ㄅㄆㄇ], MATCH(TRUE, EXACT(注音符號按鍵!$BB38, 注音編碼對照表[鍵盤按鍵]), 0))</f>
        <v>ㆯ</v>
      </c>
      <c r="BE38" s="349" t="str" cm="1">
        <f t="array" ref="BE38" xml:space="preserve"> INDEX( 注音編碼對照表[國際音標], MATCH(TRUE, EXACT(注音符號按鍵!$BB38, 注音編碼對照表[鍵盤按鍵]), 0))</f>
        <v>ãũ</v>
      </c>
      <c r="BF38" s="350" t="str" cm="1">
        <f t="array" ref="BF38" xml:space="preserve"> INDEX( 注音編碼對照表[台語音標], MATCH(TRUE, EXACT(注音符號按鍵!$BB38, 注音編碼對照表[鍵盤按鍵]), 0))</f>
        <v>aunn</v>
      </c>
      <c r="BG38" s="95"/>
      <c r="BI38" s="137" t="str">
        <f t="shared" si="5"/>
        <v>"L": { commit: "ㆯ" }</v>
      </c>
      <c r="BK38" s="106">
        <f t="shared" si="6"/>
        <v>34</v>
      </c>
      <c r="BL38" s="138" t="str">
        <f t="shared" si="7"/>
        <v>- xform/ãũ/L/</v>
      </c>
      <c r="BN38" s="138" t="str">
        <f t="shared" si="8"/>
        <v>- xform/L/ㆯ/</v>
      </c>
    </row>
    <row r="39" spans="1:80" s="106" customFormat="1" ht="45" customHeight="1">
      <c r="B39" s="162"/>
      <c r="C39" s="163"/>
      <c r="D39" s="164">
        <f ca="1" xml:space="preserve"> LEN(E39)</f>
        <v>47</v>
      </c>
      <c r="E39" s="164" t="str">
        <f ca="1" xml:space="preserve"> SUBSTITUTE(E35, _xlfn.CONCAT(AM36:AQ36), "")</f>
        <v>1q!a2wsxYHBNedEgcuj8ik,9l0;-UJ*I&lt;(LMo/pm. 43657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1q!a2wsxYHBNedEgcuj8ik,9l0;-UJ*I&lt;(LMo/pm. 43657</v>
      </c>
      <c r="AM39" s="106" t="str">
        <f ca="1" xml:space="preserve"> SUBSTITUTE(AL39, MID(AL39, FIND(AM36,AL39), 1), "")</f>
        <v>1qa2wsxYHBNedEgcuj8ik,9l0;-UJ*I&lt;(LMo/pm. 43657</v>
      </c>
      <c r="AN39" s="106" t="str">
        <f ca="1" xml:space="preserve"> SUBSTITUTE(AM39, MID(AM39, FIND(AN36,AM39), 1), "")</f>
        <v>1qa2wsxYHBNedgcuj8ik,9l0;-UJ*I&lt;(LMo/pm. 43657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36">
        <f t="shared" si="0"/>
        <v>36</v>
      </c>
      <c r="BB39" s="71" t="str">
        <f>注音編碼對照表!C41</f>
        <v>M</v>
      </c>
      <c r="BC39" s="351" t="str" cm="1">
        <f t="array" ref="BC39" xml:space="preserve"> INDEX( 注音編碼對照表[注音符號], MATCH(TRUE, EXACT(注音符號按鍵!$BB39, 注音編碼對照表[鍵盤按鍵]), 0))</f>
        <v>ㆰ</v>
      </c>
      <c r="BD39" s="352" t="str" cm="1">
        <f t="array" ref="BD39" xml:space="preserve"> INDEX( 注音編碼對照表[台語ㄅㄆㄇ], MATCH(TRUE, EXACT(注音符號按鍵!$BB39, 注音編碼對照表[鍵盤按鍵]), 0))</f>
        <v>ㄚㄇ</v>
      </c>
      <c r="BE39" s="349" t="str" cm="1">
        <f t="array" ref="BE39" xml:space="preserve"> INDEX( 注音編碼對照表[國際音標], MATCH(TRUE, EXACT(注音符號按鍵!$BB39, 注音編碼對照表[鍵盤按鍵]), 0))</f>
        <v>am</v>
      </c>
      <c r="BF39" s="350" t="str" cm="1">
        <f t="array" ref="BF39" xml:space="preserve"> INDEX( 注音編碼對照表[台語音標], MATCH(TRUE, EXACT(注音符號按鍵!$BB39, 注音編碼對照表[鍵盤按鍵]), 0))</f>
        <v>am</v>
      </c>
      <c r="BG39" s="95"/>
      <c r="BI39" s="137" t="str">
        <f t="shared" si="5"/>
        <v>"M": { commit: "ㆰ" }</v>
      </c>
      <c r="BK39" s="106">
        <f t="shared" si="6"/>
        <v>35</v>
      </c>
      <c r="BL39" s="138" t="str">
        <f t="shared" si="7"/>
        <v>- xform/am/M/</v>
      </c>
      <c r="BN39" s="138" t="str">
        <f t="shared" si="8"/>
        <v>- xform/M/ㆰ/</v>
      </c>
    </row>
    <row r="40" spans="1:80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ㄅㄆㆠㄇㄉㄊㄋㄌㄐㄑㆢㄒㄍㄎㆣㄥㄏㄧㄨㄚㆦㄜㆤㄞㄠㄢㄤㄦㆪㆫㆩㆧㆥㆮㆯㄚㄇㄛㄥㄥㄣㄇˉˋˇˊ+˙</v>
      </c>
      <c r="AM40" s="106" t="str">
        <f ca="1" xml:space="preserve"> SUBSTITUTE(AL40, MID(AL40, FIND(AM38,AL40), 1), "")</f>
        <v>ㄅㄆㄇㄉㄊㄋㄌㄐㄑㆢㄒㄍㄎㆣㄥㄏㄧㄨㄚㆦㄜㆤㄞㄠㄢㄤㄦㆪㆫㆩㆧㆥㆮㆯㄚㄇㄛㄥㄥㄣㄇˉˋˇˊ+˙</v>
      </c>
      <c r="AN40" s="106" t="str">
        <f ca="1" xml:space="preserve"> SUBSTITUTE(AM40, MID(AM40, FIND(AN38,AM40), 1), "")</f>
        <v>ㄅㄆㄇㄉㄊㄋㄌㄐㄑㆢㄒㄍㄎㄥㄏㄧㄨㄚㆦㄜㆤㄞㄠㄢㄤㄦㆪㆫㆩㆧㆥㆮㆯㄚㄇㄛㄥㄥㄣㄇˉˋˇˊ+˙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36">
        <f t="shared" si="0"/>
        <v>37</v>
      </c>
      <c r="BB40" s="71" t="str">
        <f>注音編碼對照表!C44</f>
        <v>o</v>
      </c>
      <c r="BC40" s="351" t="str" cm="1">
        <f t="array" ref="BC40" xml:space="preserve"> INDEX( 注音編碼對照表[注音符號], MATCH(TRUE, EXACT(注音符號按鍵!$BB40, 注音編碼對照表[鍵盤按鍵]), 0))</f>
        <v>ㆲ</v>
      </c>
      <c r="BD40" s="352" t="str" cm="1">
        <f t="array" ref="BD40" xml:space="preserve"> INDEX( 注音編碼對照表[台語ㄅㄆㄇ], MATCH(TRUE, EXACT(注音符號按鍵!$BB40, 注音編碼對照表[鍵盤按鍵]), 0))</f>
        <v>ㄛㄥ</v>
      </c>
      <c r="BE40" s="349" t="str" cm="1">
        <f t="array" ref="BE40" xml:space="preserve"> INDEX( 注音編碼對照表[國際音標], MATCH(TRUE, EXACT(注音符號按鍵!$BB40, 注音編碼對照表[鍵盤按鍵]), 0))</f>
        <v>ɔŋ</v>
      </c>
      <c r="BF40" s="350" t="str" cm="1">
        <f t="array" ref="BF40" xml:space="preserve"> INDEX( 注音編碼對照表[台語音標], MATCH(TRUE, EXACT(注音符號按鍵!$BB40, 注音編碼對照表[鍵盤按鍵]), 0))</f>
        <v>ong</v>
      </c>
      <c r="BG40" s="95"/>
      <c r="BI40" s="137" t="str">
        <f t="shared" si="5"/>
        <v>"o": { commit: "ㆲ" }</v>
      </c>
      <c r="BK40" s="106">
        <f t="shared" si="6"/>
        <v>36</v>
      </c>
      <c r="BL40" s="138" t="str">
        <f t="shared" si="7"/>
        <v>- xform/ɔŋ/o/</v>
      </c>
      <c r="BN40" s="138" t="str">
        <f t="shared" si="8"/>
        <v>- xform/o/ㆲ/</v>
      </c>
    </row>
    <row r="41" spans="1:80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36">
        <f t="shared" si="0"/>
        <v>38</v>
      </c>
      <c r="BB41" s="71" t="str">
        <f>注音編碼對照表!C47</f>
        <v>/</v>
      </c>
      <c r="BC41" s="351" t="str" cm="1">
        <f t="array" ref="BC41" xml:space="preserve"> INDEX( 注音編碼對照表[注音符號], MATCH(TRUE, EXACT(注音符號按鍵!$BB41, 注音編碼對照表[鍵盤按鍵]), 0))</f>
        <v>ㆭ</v>
      </c>
      <c r="BD41" s="352" t="str" cm="1">
        <f t="array" ref="BD41" xml:space="preserve"> INDEX( 注音編碼對照表[台語ㄅㄆㄇ], MATCH(TRUE, EXACT(注音符號按鍵!$BB41, 注音編碼對照表[鍵盤按鍵]), 0))</f>
        <v>ㄥ</v>
      </c>
      <c r="BE41" s="349" t="str" cm="1">
        <f t="array" ref="BE41" xml:space="preserve"> INDEX( 注音編碼對照表[國際音標], MATCH(TRUE, EXACT(注音符號按鍵!$BB41, 注音編碼對照表[鍵盤按鍵]), 0))</f>
        <v>ŋ̍</v>
      </c>
      <c r="BF41" s="350" t="str" cm="1">
        <f t="array" ref="BF41" xml:space="preserve"> INDEX( 注音編碼對照表[台語音標], MATCH(TRUE, EXACT(注音符號按鍵!$BB41, 注音編碼對照表[鍵盤按鍵]), 0))</f>
        <v>-ng</v>
      </c>
      <c r="BG41" s="95"/>
      <c r="BI41" s="137" t="str">
        <f t="shared" si="5"/>
        <v>"/": { commit: "ㆭ" }</v>
      </c>
      <c r="BK41" s="106">
        <f t="shared" si="6"/>
        <v>37</v>
      </c>
      <c r="BL41" s="138" t="str">
        <f t="shared" si="7"/>
        <v>- xform/ŋ̍///</v>
      </c>
      <c r="BN41" s="138" t="str">
        <f t="shared" si="8"/>
        <v>- xform///ㆭ/</v>
      </c>
    </row>
    <row r="42" spans="1:80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36">
        <f t="shared" si="0"/>
        <v>39</v>
      </c>
      <c r="BB42" s="71" t="str">
        <f>注音編碼對照表!C46</f>
        <v>p</v>
      </c>
      <c r="BC42" s="351" t="str" cm="1">
        <f t="array" ref="BC42" xml:space="preserve"> INDEX( 注音編碼對照表[注音符號], MATCH(TRUE, EXACT(注音符號按鍵!$BB42, 注音編碼對照表[鍵盤按鍵]), 0))</f>
        <v>ㄣ</v>
      </c>
      <c r="BD42" s="352" t="str" cm="1">
        <f t="array" ref="BD42" xml:space="preserve"> INDEX( 注音編碼對照表[台語ㄅㄆㄇ], MATCH(TRUE, EXACT(注音符號按鍵!$BB42, 注音編碼對照表[鍵盤按鍵]), 0))</f>
        <v>ㄣ</v>
      </c>
      <c r="BE42" s="349" t="str" cm="1">
        <f t="array" ref="BE42" xml:space="preserve"> INDEX( 注音編碼對照表[國際音標], MATCH(TRUE, EXACT(注音符號按鍵!$BB42, 注音編碼對照表[鍵盤按鍵]), 0))</f>
        <v>n</v>
      </c>
      <c r="BF42" s="350" t="str" cm="1">
        <f t="array" ref="BF42" xml:space="preserve"> INDEX( 注音編碼對照表[台語音標], MATCH(TRUE, EXACT(注音符號按鍵!$BB42, 注音編碼對照表[鍵盤按鍵]), 0))</f>
        <v>-n</v>
      </c>
      <c r="BG42" s="95"/>
      <c r="BI42" s="137" t="str">
        <f t="shared" si="5"/>
        <v>"p": { commit: "ㄣ" }</v>
      </c>
      <c r="BK42" s="106">
        <f t="shared" si="6"/>
        <v>38</v>
      </c>
      <c r="BL42" s="138" t="str">
        <f t="shared" si="7"/>
        <v>- xform/n/p/</v>
      </c>
      <c r="BN42" s="138" t="str">
        <f t="shared" si="8"/>
        <v>- xform/p/ㄣ/</v>
      </c>
    </row>
    <row r="43" spans="1:80" ht="45" customHeight="1">
      <c r="A43" s="106"/>
      <c r="B43" s="174" t="s">
        <v>377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36">
        <f t="shared" si="0"/>
        <v>40</v>
      </c>
      <c r="BB43" s="71" t="str">
        <f>注音編碼對照表!C45</f>
        <v>m</v>
      </c>
      <c r="BC43" s="351" t="str" cm="1">
        <f t="array" ref="BC43" xml:space="preserve"> INDEX( 注音編碼對照表[注音符號], MATCH(TRUE, EXACT(注音符號按鍵!$BB43, 注音編碼對照表[鍵盤按鍵]), 0))</f>
        <v>ㆬ</v>
      </c>
      <c r="BD43" s="352" t="str" cm="1">
        <f t="array" ref="BD43" xml:space="preserve"> INDEX( 注音編碼對照表[台語ㄅㄆㄇ], MATCH(TRUE, EXACT(注音符號按鍵!$BB43, 注音編碼對照表[鍵盤按鍵]), 0))</f>
        <v>ㄇ</v>
      </c>
      <c r="BE43" s="349" t="str" cm="1">
        <f t="array" ref="BE43" xml:space="preserve"> INDEX( 注音編碼對照表[國際音標], MATCH(TRUE, EXACT(注音符號按鍵!$BB43, 注音編碼對照表[鍵盤按鍵]), 0))</f>
        <v>m̩</v>
      </c>
      <c r="BF43" s="350" t="str" cm="1">
        <f t="array" ref="BF43" xml:space="preserve"> INDEX( 注音編碼對照表[台語音標], MATCH(TRUE, EXACT(注音符號按鍵!$BB43, 注音編碼對照表[鍵盤按鍵]), 0))</f>
        <v>-m</v>
      </c>
      <c r="BG43" s="95"/>
      <c r="BH43" s="106"/>
      <c r="BI43" s="137" t="str">
        <f t="shared" si="5"/>
        <v>"m": { commit: "ㆬ" }</v>
      </c>
      <c r="BJ43" s="106"/>
      <c r="BK43" s="106">
        <f t="shared" si="6"/>
        <v>39</v>
      </c>
      <c r="BL43" s="138" t="str">
        <f t="shared" si="7"/>
        <v>- xform/m̩/m/</v>
      </c>
      <c r="BM43" s="106"/>
      <c r="BN43" s="138" t="str">
        <f t="shared" si="8"/>
        <v>- xform/m/ㆬ/</v>
      </c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</row>
    <row r="44" spans="1:80" ht="45" customHeight="1">
      <c r="B44" s="160" t="s">
        <v>378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36">
        <f t="shared" si="0"/>
        <v>41</v>
      </c>
      <c r="BB44" s="71" t="str">
        <f>注音編碼對照表!C48</f>
        <v>.</v>
      </c>
      <c r="BC44" s="351" t="str" cm="1">
        <f t="array" ref="BC44" xml:space="preserve"> INDEX( 注音編碼對照表[注音符號], MATCH(TRUE, EXACT(注音符號按鍵!$BB44, 注音編碼對照表[鍵盤按鍵]), 0))</f>
        <v>ㄬ</v>
      </c>
      <c r="BD44" s="352" t="str" cm="1">
        <f t="array" ref="BD44" xml:space="preserve"> INDEX( 注音編碼對照表[台語ㄅㄆㄇ], MATCH(TRUE, EXACT(注音符號按鍵!$BB44, 注音編碼對照表[鍵盤按鍵]), 0))</f>
        <v></v>
      </c>
      <c r="BE44" s="349" t="str" cm="1">
        <f t="array" ref="BE44" xml:space="preserve"> INDEX( 注音編碼對照表[國際音標], MATCH(TRUE, EXACT(注音符號按鍵!$BB44, 注音編碼對照表[鍵盤按鍵]), 0))</f>
        <v>ɲ</v>
      </c>
      <c r="BF44" s="350" t="str" cm="1">
        <f t="array" ref="BF44" xml:space="preserve"> INDEX( 注音編碼對照表[台語音標], MATCH(TRUE, EXACT(注音符號按鍵!$BB44, 注音編碼對照表[鍵盤按鍵]), 0))</f>
        <v>-nn</v>
      </c>
      <c r="BG44" s="95"/>
      <c r="BI44" s="137" t="str">
        <f t="shared" si="5"/>
        <v>".": { commit: "ㄬ" }</v>
      </c>
      <c r="BK44" s="113">
        <f t="shared" si="6"/>
        <v>40</v>
      </c>
      <c r="BL44" s="138" t="str">
        <f t="shared" si="7"/>
        <v>- xform/ɲ/./</v>
      </c>
      <c r="BN44" s="138" t="str">
        <f t="shared" si="8"/>
        <v>- xform/./ㄬ/</v>
      </c>
    </row>
    <row r="45" spans="1:80" ht="45" customHeight="1">
      <c r="B45" s="175" t="s">
        <v>379</v>
      </c>
      <c r="C45" s="176"/>
      <c r="D45" s="176">
        <f ca="1" xml:space="preserve"> LEN(E45)</f>
        <v>62</v>
      </c>
      <c r="E45" s="177" t="str">
        <f ca="1" xml:space="preserve"> _xlfn.CONCAT(D21:AZ21)</f>
        <v>ppʰbmttʰnlʨʨʰʥɕkkʰgŋhiuaɔəeaiɑuanɑŋɨĩũãɔ̃ẽãĩãũamɔŋŋ̍nm̩ɲ000000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36">
        <f t="shared" si="0"/>
        <v>42</v>
      </c>
      <c r="BB45" s="71" t="str">
        <f>注音編碼對照表!C49</f>
        <v xml:space="preserve"> </v>
      </c>
      <c r="BC45" s="351" t="str" cm="1">
        <f t="array" ref="BC45" xml:space="preserve"> INDEX( 注音編碼對照表[注音符號], MATCH(TRUE, EXACT(注音符號按鍵!$BB45, 注音編碼對照表[鍵盤按鍵]), 0))</f>
        <v>ˉ</v>
      </c>
      <c r="BD45" s="352" t="str" cm="1">
        <f t="array" ref="BD45" xml:space="preserve"> INDEX( 注音編碼對照表[台語ㄅㄆㄇ], MATCH(TRUE, EXACT(注音符號按鍵!$BB45, 注音編碼對照表[鍵盤按鍵]), 0))</f>
        <v>ˉ</v>
      </c>
      <c r="BE45" s="349" cm="1">
        <f t="array" ref="BE45" xml:space="preserve"> INDEX( 注音編碼對照表[國際音標], MATCH(TRUE, EXACT(注音符號按鍵!$BB45, 注音編碼對照表[鍵盤按鍵]), 0))</f>
        <v>0</v>
      </c>
      <c r="BF45" s="350" cm="1">
        <f t="array" ref="BF45" xml:space="preserve"> INDEX( 注音編碼對照表[台語音標], MATCH(TRUE, EXACT(注音符號按鍵!$BB45, 注音編碼對照表[鍵盤按鍵]), 0))</f>
        <v>1</v>
      </c>
      <c r="BG45" s="95"/>
      <c r="BI45" s="137" t="str">
        <f t="shared" si="5"/>
        <v>" ": { commit: "ˉ" }</v>
      </c>
      <c r="BK45" s="113">
        <f t="shared" si="6"/>
        <v>41</v>
      </c>
      <c r="BL45" s="138" t="str">
        <f t="shared" si="7"/>
        <v>- xform/0/ /</v>
      </c>
      <c r="BN45" s="138" t="str">
        <f t="shared" si="8"/>
        <v>- xform/ /ˉ/</v>
      </c>
    </row>
    <row r="46" spans="1:80" ht="45" customHeight="1">
      <c r="B46" s="178" t="s">
        <v>15</v>
      </c>
      <c r="C46" s="179"/>
      <c r="D46" s="179">
        <f ca="1">LEN(E46)</f>
        <v>49</v>
      </c>
      <c r="E46" s="178" t="str">
        <f ca="1" xml:space="preserve"> _xlfn.CONCAT(D19:AZ19)</f>
        <v>ㄅㄆㆠㄇㄉㄊㄋㄌㄐㄑㆢㄒㄍㄎㆣㄥㄏㄧㄨㄚㆦㄜㆤㄞㄠㄢㄤㄦㆪㆫㆩㆧㆥㆮㆯㄚㄇㄛㄥㄥㄣㄇˉˋˇˊ+˙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A46" s="136">
        <f t="shared" si="0"/>
        <v>43</v>
      </c>
      <c r="BB46" s="71" t="str">
        <f>注音編碼對照表!C51</f>
        <v>4</v>
      </c>
      <c r="BC46" s="351" t="str" cm="1">
        <f t="array" ref="BC46" xml:space="preserve"> INDEX( 注音編碼對照表[注音符號], MATCH(TRUE, EXACT(注音符號按鍵!$BB46, 注音編碼對照表[鍵盤按鍵]), 0))</f>
        <v>ˋ</v>
      </c>
      <c r="BD46" s="352" t="str" cm="1">
        <f t="array" ref="BD46" xml:space="preserve"> INDEX( 注音編碼對照表[台語ㄅㄆㄇ], MATCH(TRUE, EXACT(注音符號按鍵!$BB46, 注音編碼對照表[鍵盤按鍵]), 0))</f>
        <v>ˋ</v>
      </c>
      <c r="BE46" s="349" cm="1">
        <f t="array" ref="BE46" xml:space="preserve"> INDEX( 注音編碼對照表[國際音標], MATCH(TRUE, EXACT(注音符號按鍵!$BB46, 注音編碼對照表[鍵盤按鍵]), 0))</f>
        <v>0</v>
      </c>
      <c r="BF46" s="350" cm="1">
        <f t="array" ref="BF46" xml:space="preserve"> INDEX( 注音編碼對照表[台語音標], MATCH(TRUE, EXACT(注音符號按鍵!$BB46, 注音編碼對照表[鍵盤按鍵]), 0))</f>
        <v>2</v>
      </c>
      <c r="BG46" s="95"/>
      <c r="BI46" s="137" t="str">
        <f t="shared" si="5"/>
        <v>"4": { commit: "ˋ" }</v>
      </c>
      <c r="BK46" s="113">
        <f t="shared" si="6"/>
        <v>42</v>
      </c>
      <c r="BL46" s="138" t="str">
        <f t="shared" si="7"/>
        <v>- xform/0/4/</v>
      </c>
      <c r="BN46" s="138" t="str">
        <f t="shared" si="8"/>
        <v>- xform/4/ˋ/</v>
      </c>
    </row>
    <row r="47" spans="1:80" ht="45" customHeight="1">
      <c r="B47" s="170" t="str">
        <f ca="1" xml:space="preserve"> "- xlit|" &amp; E45 &amp; "|" &amp; E46 &amp; "|"</f>
        <v>- xlit|ppʰbmttʰnlʨʨʰʥɕkkʰgŋhiuaɔəeaiɑuanɑŋɨĩũãɔ̃ẽãĩãũamɔŋŋ̍nm̩ɲ000000|ㄅㄆㆠㄇㄉㄊㄋㄌㄐㄑㆢㄒㄍㄎㆣㄥㄏㄧㄨㄚㆦㄜㆤㄞㄠㄢㄤㄦㆪㆫㆩㆧㆥㆮㆯㄚㄇㄛㄥㄥㄣㄇˉˋˇˊ+˙|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A47" s="136">
        <f t="shared" si="0"/>
        <v>44</v>
      </c>
      <c r="BB47" s="71" t="str">
        <f>注音編碼對照表!C52</f>
        <v>3</v>
      </c>
      <c r="BC47" s="351" t="str" cm="1">
        <f t="array" ref="BC47" xml:space="preserve"> INDEX( 注音編碼對照表[注音符號], MATCH(TRUE, EXACT(注音符號按鍵!$BB47, 注音編碼對照表[鍵盤按鍵]), 0))</f>
        <v>˪</v>
      </c>
      <c r="BD47" s="352" t="str" cm="1">
        <f t="array" ref="BD47" xml:space="preserve"> INDEX( 注音編碼對照表[台語ㄅㄆㄇ], MATCH(TRUE, EXACT(注音符號按鍵!$BB47, 注音編碼對照表[鍵盤按鍵]), 0))</f>
        <v>ˇ</v>
      </c>
      <c r="BE47" s="349" cm="1">
        <f t="array" ref="BE47" xml:space="preserve"> INDEX( 注音編碼對照表[國際音標], MATCH(TRUE, EXACT(注音符號按鍵!$BB47, 注音編碼對照表[鍵盤按鍵]), 0))</f>
        <v>0</v>
      </c>
      <c r="BF47" s="350" cm="1">
        <f t="array" ref="BF47" xml:space="preserve"> INDEX( 注音編碼對照表[台語音標], MATCH(TRUE, EXACT(注音符號按鍵!$BB47, 注音編碼對照表[鍵盤按鍵]), 0))</f>
        <v>3</v>
      </c>
      <c r="BG47" s="95"/>
      <c r="BI47" s="137" t="str">
        <f t="shared" si="5"/>
        <v>"3": { commit: "˪" }</v>
      </c>
      <c r="BK47" s="113">
        <f t="shared" si="6"/>
        <v>43</v>
      </c>
      <c r="BL47" s="138" t="str">
        <f t="shared" si="7"/>
        <v>- xform/0/3/</v>
      </c>
      <c r="BN47" s="138" t="str">
        <f t="shared" si="8"/>
        <v>- xform/3/˪/</v>
      </c>
    </row>
    <row r="48" spans="1:80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A48" s="136">
        <f t="shared" si="0"/>
        <v>45</v>
      </c>
      <c r="BB48" s="71" t="str">
        <f>注音編碼對照表!C50</f>
        <v>6</v>
      </c>
      <c r="BC48" s="351" t="str" cm="1">
        <f t="array" ref="BC48" xml:space="preserve"> INDEX( 注音編碼對照表[注音符號], MATCH(TRUE, EXACT(注音符號按鍵!$BB48, 注音編碼對照表[鍵盤按鍵]), 0))</f>
        <v>ˊ</v>
      </c>
      <c r="BD48" s="352" t="str" cm="1">
        <f t="array" ref="BD48" xml:space="preserve"> INDEX( 注音編碼對照表[台語ㄅㄆㄇ], MATCH(TRUE, EXACT(注音符號按鍵!$BB48, 注音編碼對照表[鍵盤按鍵]), 0))</f>
        <v>ˊ</v>
      </c>
      <c r="BE48" s="349" cm="1">
        <f t="array" ref="BE48" xml:space="preserve"> INDEX( 注音編碼對照表[國際音標], MATCH(TRUE, EXACT(注音符號按鍵!$BB48, 注音編碼對照表[鍵盤按鍵]), 0))</f>
        <v>0</v>
      </c>
      <c r="BF48" s="350" cm="1">
        <f t="array" ref="BF48" xml:space="preserve"> INDEX( 注音編碼對照表[台語音標], MATCH(TRUE, EXACT(注音符號按鍵!$BB48, 注音編碼對照表[鍵盤按鍵]), 0))</f>
        <v>5</v>
      </c>
      <c r="BG48" s="95"/>
      <c r="BI48" s="137" t="str">
        <f t="shared" si="5"/>
        <v>"6": { commit: "ˊ" }</v>
      </c>
      <c r="BK48" s="113">
        <f t="shared" si="6"/>
        <v>44</v>
      </c>
      <c r="BL48" s="138" t="str">
        <f t="shared" si="7"/>
        <v>- xform/0/6/</v>
      </c>
      <c r="BN48" s="138" t="str">
        <f t="shared" si="8"/>
        <v>- xform/6/ˊ/</v>
      </c>
    </row>
    <row r="49" spans="2:66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A49" s="136">
        <f t="shared" si="0"/>
        <v>46</v>
      </c>
      <c r="BB49" s="71" t="str">
        <f>注音編碼對照表!C53</f>
        <v>5</v>
      </c>
      <c r="BC49" s="351" t="str" cm="1">
        <f t="array" ref="BC49" xml:space="preserve"> INDEX( 注音編碼對照表[注音符號], MATCH(TRUE, EXACT(注音符號按鍵!$BB49, 注音編碼對照表[鍵盤按鍵]), 0))</f>
        <v>˫</v>
      </c>
      <c r="BD49" s="352" t="str" cm="1">
        <f t="array" ref="BD49" xml:space="preserve"> INDEX( 注音編碼對照表[台語ㄅㄆㄇ], MATCH(TRUE, EXACT(注音符號按鍵!$BB49, 注音編碼對照表[鍵盤按鍵]), 0))</f>
        <v>+</v>
      </c>
      <c r="BE49" s="349" cm="1">
        <f t="array" ref="BE49" xml:space="preserve"> INDEX( 注音編碼對照表[國際音標], MATCH(TRUE, EXACT(注音符號按鍵!$BB49, 注音編碼對照表[鍵盤按鍵]), 0))</f>
        <v>0</v>
      </c>
      <c r="BF49" s="350" cm="1">
        <f t="array" ref="BF49" xml:space="preserve"> INDEX( 注音編碼對照表[台語音標], MATCH(TRUE, EXACT(注音符號按鍵!$BB49, 注音編碼對照表[鍵盤按鍵]), 0))</f>
        <v>7</v>
      </c>
      <c r="BG49" s="95"/>
      <c r="BI49" s="137" t="str">
        <f t="shared" si="5"/>
        <v>"5": { commit: "˫" }</v>
      </c>
      <c r="BK49" s="113">
        <f t="shared" si="6"/>
        <v>45</v>
      </c>
      <c r="BL49" s="114" t="str">
        <f t="shared" si="7"/>
        <v>- xform/0/5/</v>
      </c>
      <c r="BN49" s="114" t="str">
        <f t="shared" si="8"/>
        <v>- xform/5/˫/</v>
      </c>
    </row>
    <row r="50" spans="2:66" ht="45" customHeight="1">
      <c r="B50" s="183"/>
      <c r="C50" s="183"/>
      <c r="D50" s="183"/>
      <c r="BA50" s="136">
        <f t="shared" si="0"/>
        <v>47</v>
      </c>
      <c r="BB50" s="71" t="str">
        <f>注音編碼對照表!C54</f>
        <v>7</v>
      </c>
      <c r="BC50" s="351" t="str" cm="1">
        <f t="array" ref="BC50" xml:space="preserve"> INDEX( 注音編碼對照表[注音符號], MATCH(TRUE, EXACT(注音符號按鍵!$BB50, 注音編碼對照表[鍵盤按鍵]), 0))</f>
        <v>˙</v>
      </c>
      <c r="BD50" s="352" t="str" cm="1">
        <f t="array" ref="BD50" xml:space="preserve"> INDEX( 注音編碼對照表[台語ㄅㄆㄇ], MATCH(TRUE, EXACT(注音符號按鍵!$BB50, 注音編碼對照表[鍵盤按鍵]), 0))</f>
        <v>˙</v>
      </c>
      <c r="BE50" s="349" cm="1">
        <f t="array" ref="BE50" xml:space="preserve"> INDEX( 注音編碼對照表[國際音標], MATCH(TRUE, EXACT(注音符號按鍵!$BB50, 注音編碼對照表[鍵盤按鍵]), 0))</f>
        <v>0</v>
      </c>
      <c r="BF50" s="350" t="str" cm="1">
        <f t="array" ref="BF50" xml:space="preserve"> INDEX( 注音編碼對照表[台語音標], MATCH(TRUE, EXACT(注音符號按鍵!$BB50, 注音編碼對照表[鍵盤按鍵]), 0))</f>
        <v>[48]</v>
      </c>
      <c r="BG50" s="97"/>
      <c r="BI50" s="137" t="str">
        <f t="shared" si="5"/>
        <v>"7": { commit: "˙" }</v>
      </c>
      <c r="BK50" s="113">
        <f t="shared" si="6"/>
        <v>46</v>
      </c>
      <c r="BL50" s="114" t="str">
        <f t="shared" si="7"/>
        <v>- xform/0/7/</v>
      </c>
      <c r="BN50" s="114" t="str">
        <f t="shared" si="8"/>
        <v>- xform/7/˙/</v>
      </c>
    </row>
    <row r="51" spans="2:66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I51" s="137" t="str">
        <f t="shared" si="5"/>
        <v>"": { commit: "" }</v>
      </c>
      <c r="BK51" s="113">
        <f t="shared" si="6"/>
        <v>47</v>
      </c>
      <c r="BL51" s="114" t="str">
        <f t="shared" si="7"/>
        <v>- xform///</v>
      </c>
      <c r="BN51" s="114" t="str">
        <f t="shared" si="8"/>
        <v>- xform///</v>
      </c>
    </row>
    <row r="52" spans="2:66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I52" s="137" t="str">
        <f t="shared" si="5"/>
        <v>"": { commit: "" }</v>
      </c>
      <c r="BK52" s="113">
        <f t="shared" si="6"/>
        <v>0</v>
      </c>
      <c r="BL52" s="114" t="str">
        <f t="shared" si="7"/>
        <v>- xform///</v>
      </c>
      <c r="BN52" s="114" t="str">
        <f t="shared" si="8"/>
        <v>- xform///</v>
      </c>
    </row>
    <row r="53" spans="2:66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I53" s="137" t="str">
        <f t="shared" si="5"/>
        <v>"": { commit: "" }</v>
      </c>
      <c r="BK53" s="113">
        <f t="shared" si="6"/>
        <v>0</v>
      </c>
      <c r="BL53" s="114" t="str">
        <f t="shared" si="7"/>
        <v>- xform///</v>
      </c>
      <c r="BN53" s="114" t="str">
        <f t="shared" si="8"/>
        <v>- xform///</v>
      </c>
    </row>
    <row r="54" spans="2:66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I54" s="137" t="str">
        <f t="shared" si="5"/>
        <v>"": { commit: "" }</v>
      </c>
      <c r="BK54" s="113">
        <f t="shared" si="6"/>
        <v>0</v>
      </c>
      <c r="BL54" s="114" t="str">
        <f t="shared" si="7"/>
        <v>- xform///</v>
      </c>
      <c r="BN54" s="114" t="str">
        <f t="shared" si="8"/>
        <v>- xform///</v>
      </c>
    </row>
    <row r="55" spans="2:66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I55" s="137" t="str">
        <f t="shared" si="5"/>
        <v>"": { commit: "" }</v>
      </c>
      <c r="BK55" s="113">
        <f t="shared" si="6"/>
        <v>0</v>
      </c>
      <c r="BL55" s="114" t="str">
        <f t="shared" si="7"/>
        <v>- xform///</v>
      </c>
      <c r="BN55" s="114" t="str">
        <f t="shared" si="8"/>
        <v>- xform///</v>
      </c>
    </row>
    <row r="56" spans="2:66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K56" s="113">
        <f t="shared" si="6"/>
        <v>0</v>
      </c>
    </row>
    <row r="57" spans="2:66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K57" s="113">
        <f t="shared" si="6"/>
        <v>0</v>
      </c>
    </row>
    <row r="58" spans="2:66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K58" s="113">
        <f t="shared" si="6"/>
        <v>0</v>
      </c>
    </row>
    <row r="59" spans="2:66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K59" s="113">
        <f t="shared" si="6"/>
        <v>0</v>
      </c>
    </row>
    <row r="60" spans="2:66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K60" s="113">
        <f t="shared" si="6"/>
        <v>0</v>
      </c>
    </row>
    <row r="61" spans="2:66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K61" s="113">
        <f t="shared" si="6"/>
        <v>0</v>
      </c>
    </row>
    <row r="62" spans="2:66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K62" s="113">
        <f t="shared" si="6"/>
        <v>0</v>
      </c>
    </row>
    <row r="63" spans="2:66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K63" s="113">
        <f t="shared" si="6"/>
        <v>0</v>
      </c>
    </row>
    <row r="64" spans="2:66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</row>
    <row r="65" spans="2:52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</row>
    <row r="66" spans="2:52">
      <c r="AH66" s="183"/>
      <c r="AI66" s="183"/>
      <c r="AJ66" s="183"/>
    </row>
    <row r="67" spans="2:52">
      <c r="AH67" s="183"/>
      <c r="AI67" s="183"/>
      <c r="AJ67" s="183"/>
    </row>
    <row r="68" spans="2:52">
      <c r="AH68" s="183"/>
      <c r="AI68" s="183"/>
      <c r="AJ68" s="183"/>
    </row>
    <row r="69" spans="2:52">
      <c r="AH69" s="183"/>
      <c r="AI69" s="183"/>
      <c r="AJ69" s="183"/>
    </row>
  </sheetData>
  <mergeCells count="51">
    <mergeCell ref="Z11:AB11"/>
    <mergeCell ref="AC11:AE11"/>
    <mergeCell ref="AF11:AH11"/>
    <mergeCell ref="AB8:AD8"/>
    <mergeCell ref="AE8:AG8"/>
    <mergeCell ref="AH8:AJ8"/>
    <mergeCell ref="E11:G11"/>
    <mergeCell ref="H11:J11"/>
    <mergeCell ref="K11:M11"/>
    <mergeCell ref="N11:P11"/>
    <mergeCell ref="Q11:S11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AD5:AF5"/>
    <mergeCell ref="AG5:AI5"/>
    <mergeCell ref="H4:I4"/>
    <mergeCell ref="K4:L4"/>
    <mergeCell ref="N4:O4"/>
    <mergeCell ref="Q4:R4"/>
    <mergeCell ref="T4:U4"/>
    <mergeCell ref="C5:E5"/>
    <mergeCell ref="F5:H5"/>
    <mergeCell ref="I5:K5"/>
    <mergeCell ref="L5:N5"/>
    <mergeCell ref="O5:Q5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>
      <selection activeCell="A9" sqref="A9"/>
    </sheetView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</sheetViews>
  <sheetFormatPr defaultRowHeight="26.25"/>
  <cols>
    <col min="1" max="1" width="2" customWidth="1"/>
    <col min="2" max="2" width="11" style="368" customWidth="1"/>
  </cols>
  <sheetData>
    <row r="1" spans="2:20" ht="30">
      <c r="B1" s="367"/>
      <c r="C1" s="369" t="s">
        <v>606</v>
      </c>
      <c r="D1" s="369" t="s">
        <v>282</v>
      </c>
      <c r="E1" s="369" t="s">
        <v>178</v>
      </c>
      <c r="F1" s="369" t="s">
        <v>607</v>
      </c>
      <c r="G1" s="369" t="s">
        <v>165</v>
      </c>
      <c r="H1" s="369" t="s">
        <v>142</v>
      </c>
      <c r="I1" s="369" t="s">
        <v>30</v>
      </c>
      <c r="J1" s="369" t="s">
        <v>608</v>
      </c>
      <c r="K1" s="369" t="s">
        <v>34</v>
      </c>
      <c r="L1" s="369" t="s">
        <v>86</v>
      </c>
      <c r="M1" s="369" t="s">
        <v>609</v>
      </c>
      <c r="N1" s="369" t="s">
        <v>610</v>
      </c>
      <c r="O1" s="369" t="s">
        <v>611</v>
      </c>
      <c r="P1" s="369" t="s">
        <v>612</v>
      </c>
      <c r="Q1" s="369" t="s">
        <v>37</v>
      </c>
      <c r="R1" s="369" t="s">
        <v>613</v>
      </c>
      <c r="S1" s="369" t="s">
        <v>161</v>
      </c>
      <c r="T1" s="369" t="s">
        <v>1492</v>
      </c>
    </row>
    <row r="2" spans="2:20">
      <c r="B2" s="370" t="s">
        <v>59</v>
      </c>
      <c r="C2" s="366" t="s">
        <v>58</v>
      </c>
      <c r="D2" s="366" t="s">
        <v>614</v>
      </c>
      <c r="E2" s="366" t="s">
        <v>615</v>
      </c>
      <c r="F2" s="366" t="s">
        <v>616</v>
      </c>
      <c r="G2" s="366" t="s">
        <v>617</v>
      </c>
      <c r="H2" s="366" t="s">
        <v>618</v>
      </c>
      <c r="I2" s="366" t="s">
        <v>619</v>
      </c>
      <c r="J2" s="366" t="s">
        <v>620</v>
      </c>
      <c r="K2" s="366" t="s">
        <v>621</v>
      </c>
      <c r="L2" s="366" t="s">
        <v>622</v>
      </c>
      <c r="M2" s="366" t="s">
        <v>623</v>
      </c>
      <c r="N2" s="366" t="s">
        <v>624</v>
      </c>
      <c r="O2" s="366"/>
      <c r="P2" s="366" t="s">
        <v>625</v>
      </c>
      <c r="Q2" s="366" t="s">
        <v>626</v>
      </c>
      <c r="R2" s="366" t="s">
        <v>627</v>
      </c>
      <c r="S2" s="366" t="s">
        <v>628</v>
      </c>
      <c r="T2" s="366" t="s">
        <v>629</v>
      </c>
    </row>
    <row r="3" spans="2:20">
      <c r="B3" s="370" t="s">
        <v>246</v>
      </c>
      <c r="C3" s="366" t="s">
        <v>115</v>
      </c>
      <c r="D3" s="366" t="s">
        <v>630</v>
      </c>
      <c r="E3" s="366"/>
      <c r="F3" s="366" t="s">
        <v>631</v>
      </c>
      <c r="G3" s="366"/>
      <c r="H3" s="366"/>
      <c r="I3" s="366" t="s">
        <v>632</v>
      </c>
      <c r="J3" s="366" t="s">
        <v>633</v>
      </c>
      <c r="K3" s="366"/>
      <c r="L3" s="366"/>
      <c r="M3" s="366" t="s">
        <v>634</v>
      </c>
      <c r="N3" s="366" t="s">
        <v>635</v>
      </c>
      <c r="O3" s="366"/>
      <c r="P3" s="366" t="s">
        <v>636</v>
      </c>
      <c r="Q3" s="366" t="s">
        <v>637</v>
      </c>
      <c r="R3" s="366" t="s">
        <v>638</v>
      </c>
      <c r="S3" s="366"/>
      <c r="T3" s="366"/>
    </row>
    <row r="4" spans="2:20">
      <c r="B4" s="370" t="s">
        <v>1465</v>
      </c>
      <c r="C4" s="366" t="s">
        <v>639</v>
      </c>
      <c r="D4" s="366" t="s">
        <v>640</v>
      </c>
      <c r="E4" s="366" t="s">
        <v>641</v>
      </c>
      <c r="F4" s="366" t="s">
        <v>642</v>
      </c>
      <c r="G4" s="366" t="s">
        <v>643</v>
      </c>
      <c r="H4" s="366" t="s">
        <v>644</v>
      </c>
      <c r="I4" s="366" t="s">
        <v>645</v>
      </c>
      <c r="J4" s="366" t="s">
        <v>646</v>
      </c>
      <c r="K4" s="366" t="s">
        <v>647</v>
      </c>
      <c r="L4" s="366" t="s">
        <v>648</v>
      </c>
      <c r="M4" s="366" t="s">
        <v>649</v>
      </c>
      <c r="N4" s="366" t="s">
        <v>650</v>
      </c>
      <c r="O4" s="366"/>
      <c r="P4" s="366" t="s">
        <v>651</v>
      </c>
      <c r="Q4" s="366" t="s">
        <v>652</v>
      </c>
      <c r="R4" s="366" t="s">
        <v>653</v>
      </c>
      <c r="S4" s="366"/>
      <c r="T4" s="366"/>
    </row>
    <row r="5" spans="2:20">
      <c r="B5" s="370" t="s">
        <v>1466</v>
      </c>
      <c r="C5" s="366" t="s">
        <v>654</v>
      </c>
      <c r="D5" s="366" t="s">
        <v>655</v>
      </c>
      <c r="E5" s="366"/>
      <c r="F5" s="366"/>
      <c r="G5" s="366"/>
      <c r="H5" s="366"/>
      <c r="I5" s="366"/>
      <c r="J5" s="366"/>
      <c r="K5" s="366"/>
      <c r="L5" s="366"/>
      <c r="M5" s="366"/>
      <c r="N5" s="366"/>
      <c r="O5" s="366"/>
      <c r="P5" s="366" t="s">
        <v>656</v>
      </c>
      <c r="Q5" s="366"/>
      <c r="R5" s="366"/>
      <c r="S5" s="366"/>
      <c r="T5" s="366"/>
    </row>
    <row r="6" spans="2:20">
      <c r="B6" s="370" t="s">
        <v>175</v>
      </c>
      <c r="C6" s="366" t="s">
        <v>99</v>
      </c>
      <c r="D6" s="366" t="s">
        <v>657</v>
      </c>
      <c r="E6" s="366"/>
      <c r="F6" s="366"/>
      <c r="G6" s="366"/>
      <c r="H6" s="366"/>
      <c r="I6" s="366" t="s">
        <v>658</v>
      </c>
      <c r="J6" s="366" t="s">
        <v>659</v>
      </c>
      <c r="K6" s="366"/>
      <c r="L6" s="366" t="s">
        <v>660</v>
      </c>
      <c r="M6" s="366" t="s">
        <v>661</v>
      </c>
      <c r="N6" s="366" t="s">
        <v>662</v>
      </c>
      <c r="O6" s="366"/>
      <c r="P6" s="366" t="s">
        <v>663</v>
      </c>
      <c r="Q6" s="366" t="s">
        <v>664</v>
      </c>
      <c r="R6" s="366" t="s">
        <v>665</v>
      </c>
      <c r="S6" s="366" t="s">
        <v>666</v>
      </c>
      <c r="T6" s="366"/>
    </row>
    <row r="7" spans="2:20">
      <c r="B7" s="370" t="s">
        <v>157</v>
      </c>
      <c r="C7" s="366" t="s">
        <v>97</v>
      </c>
      <c r="D7" s="366" t="s">
        <v>667</v>
      </c>
      <c r="E7" s="366" t="s">
        <v>668</v>
      </c>
      <c r="F7" s="366" t="s">
        <v>669</v>
      </c>
      <c r="G7" s="366" t="s">
        <v>670</v>
      </c>
      <c r="H7" s="366"/>
      <c r="I7" s="366" t="s">
        <v>671</v>
      </c>
      <c r="J7" s="366" t="s">
        <v>672</v>
      </c>
      <c r="K7" s="366"/>
      <c r="L7" s="366" t="s">
        <v>673</v>
      </c>
      <c r="M7" s="366" t="s">
        <v>674</v>
      </c>
      <c r="N7" s="366" t="s">
        <v>675</v>
      </c>
      <c r="O7" s="366"/>
      <c r="P7" s="366" t="s">
        <v>676</v>
      </c>
      <c r="Q7" s="366" t="s">
        <v>677</v>
      </c>
      <c r="R7" s="366" t="s">
        <v>678</v>
      </c>
      <c r="S7" s="366" t="s">
        <v>679</v>
      </c>
      <c r="T7" s="366"/>
    </row>
    <row r="8" spans="2:20">
      <c r="B8" s="370" t="s">
        <v>1467</v>
      </c>
      <c r="C8" s="366" t="s">
        <v>95</v>
      </c>
      <c r="D8" s="366" t="s">
        <v>680</v>
      </c>
      <c r="E8" s="366" t="s">
        <v>681</v>
      </c>
      <c r="F8" s="366" t="s">
        <v>682</v>
      </c>
      <c r="G8" s="366" t="s">
        <v>683</v>
      </c>
      <c r="H8" s="366"/>
      <c r="I8" s="366" t="s">
        <v>684</v>
      </c>
      <c r="J8" s="366" t="s">
        <v>685</v>
      </c>
      <c r="K8" s="366"/>
      <c r="L8" s="366" t="s">
        <v>686</v>
      </c>
      <c r="M8" s="366" t="s">
        <v>687</v>
      </c>
      <c r="N8" s="366" t="s">
        <v>688</v>
      </c>
      <c r="O8" s="366"/>
      <c r="P8" s="366" t="s">
        <v>689</v>
      </c>
      <c r="Q8" s="366" t="s">
        <v>690</v>
      </c>
      <c r="R8" s="366" t="s">
        <v>691</v>
      </c>
      <c r="S8" s="366" t="s">
        <v>692</v>
      </c>
      <c r="T8" s="366"/>
    </row>
    <row r="9" spans="2:20">
      <c r="B9" s="370" t="s">
        <v>693</v>
      </c>
      <c r="C9" s="366" t="s">
        <v>694</v>
      </c>
      <c r="D9" s="366" t="s">
        <v>695</v>
      </c>
      <c r="E9" s="366"/>
      <c r="F9" s="366"/>
      <c r="G9" s="366"/>
      <c r="H9" s="366"/>
      <c r="I9" s="366" t="s">
        <v>696</v>
      </c>
      <c r="J9" s="366" t="s">
        <v>697</v>
      </c>
      <c r="K9" s="366"/>
      <c r="L9" s="366" t="s">
        <v>698</v>
      </c>
      <c r="M9" s="366" t="s">
        <v>699</v>
      </c>
      <c r="N9" s="366" t="s">
        <v>700</v>
      </c>
      <c r="O9" s="366"/>
      <c r="P9" s="366" t="s">
        <v>701</v>
      </c>
      <c r="Q9" s="366" t="s">
        <v>702</v>
      </c>
      <c r="R9" s="366" t="s">
        <v>703</v>
      </c>
      <c r="S9" s="366"/>
      <c r="T9" s="366"/>
    </row>
    <row r="10" spans="2:20">
      <c r="B10" s="370" t="s">
        <v>704</v>
      </c>
      <c r="C10" s="366" t="s">
        <v>705</v>
      </c>
      <c r="D10" s="366" t="s">
        <v>706</v>
      </c>
      <c r="E10" s="366" t="s">
        <v>707</v>
      </c>
      <c r="F10" s="366" t="s">
        <v>708</v>
      </c>
      <c r="G10" s="366" t="s">
        <v>709</v>
      </c>
      <c r="H10" s="366"/>
      <c r="I10" s="366" t="s">
        <v>710</v>
      </c>
      <c r="J10" s="366" t="s">
        <v>711</v>
      </c>
      <c r="K10" s="366"/>
      <c r="L10" s="366" t="s">
        <v>712</v>
      </c>
      <c r="M10" s="366" t="s">
        <v>713</v>
      </c>
      <c r="N10" s="366" t="s">
        <v>714</v>
      </c>
      <c r="O10" s="366"/>
      <c r="P10" s="366" t="s">
        <v>715</v>
      </c>
      <c r="Q10" s="366" t="s">
        <v>716</v>
      </c>
      <c r="R10" s="366" t="s">
        <v>717</v>
      </c>
      <c r="S10" s="366"/>
      <c r="T10" s="366"/>
    </row>
    <row r="11" spans="2:20">
      <c r="B11" s="370" t="s">
        <v>718</v>
      </c>
      <c r="C11" s="366" t="s">
        <v>719</v>
      </c>
      <c r="D11" s="366" t="s">
        <v>720</v>
      </c>
      <c r="E11" s="366" t="s">
        <v>721</v>
      </c>
      <c r="F11" s="366" t="s">
        <v>722</v>
      </c>
      <c r="G11" s="366" t="s">
        <v>723</v>
      </c>
      <c r="H11" s="366"/>
      <c r="I11" s="366" t="s">
        <v>724</v>
      </c>
      <c r="J11" s="366" t="s">
        <v>725</v>
      </c>
      <c r="K11" s="366"/>
      <c r="L11" s="366" t="s">
        <v>726</v>
      </c>
      <c r="M11" s="366" t="s">
        <v>727</v>
      </c>
      <c r="N11" s="366" t="s">
        <v>728</v>
      </c>
      <c r="O11" s="366"/>
      <c r="P11" s="366" t="s">
        <v>729</v>
      </c>
      <c r="Q11" s="366" t="s">
        <v>730</v>
      </c>
      <c r="R11" s="366" t="s">
        <v>731</v>
      </c>
      <c r="S11" s="366" t="s">
        <v>732</v>
      </c>
      <c r="T11" s="366"/>
    </row>
    <row r="12" spans="2:20">
      <c r="B12" s="370" t="s">
        <v>1461</v>
      </c>
      <c r="C12" s="366" t="s">
        <v>189</v>
      </c>
      <c r="D12" s="366" t="s">
        <v>733</v>
      </c>
      <c r="E12" s="366" t="s">
        <v>734</v>
      </c>
      <c r="F12" s="366" t="s">
        <v>735</v>
      </c>
      <c r="G12" s="366" t="s">
        <v>736</v>
      </c>
      <c r="H12" s="366" t="s">
        <v>737</v>
      </c>
      <c r="I12" s="366" t="s">
        <v>738</v>
      </c>
      <c r="J12" s="366" t="s">
        <v>739</v>
      </c>
      <c r="K12" s="366" t="s">
        <v>740</v>
      </c>
      <c r="L12" s="366" t="s">
        <v>741</v>
      </c>
      <c r="M12" s="366" t="s">
        <v>742</v>
      </c>
      <c r="N12" s="366" t="s">
        <v>743</v>
      </c>
      <c r="O12" s="366"/>
      <c r="P12" s="366" t="s">
        <v>744</v>
      </c>
      <c r="Q12" s="366" t="s">
        <v>745</v>
      </c>
      <c r="R12" s="366" t="s">
        <v>746</v>
      </c>
      <c r="S12" s="366" t="s">
        <v>747</v>
      </c>
      <c r="T12" s="366" t="s">
        <v>748</v>
      </c>
    </row>
    <row r="13" spans="2:20">
      <c r="B13" s="370" t="s">
        <v>1462</v>
      </c>
      <c r="C13" s="366" t="s">
        <v>117</v>
      </c>
      <c r="D13" s="366" t="s">
        <v>749</v>
      </c>
      <c r="E13" s="366"/>
      <c r="F13" s="366" t="s">
        <v>750</v>
      </c>
      <c r="G13" s="366"/>
      <c r="H13" s="366"/>
      <c r="I13" s="366" t="s">
        <v>751</v>
      </c>
      <c r="J13" s="366"/>
      <c r="K13" s="366"/>
      <c r="L13" s="366"/>
      <c r="M13" s="366" t="s">
        <v>752</v>
      </c>
      <c r="N13" s="366"/>
      <c r="O13" s="366"/>
      <c r="P13" s="366"/>
      <c r="Q13" s="366" t="s">
        <v>753</v>
      </c>
      <c r="R13" s="366" t="s">
        <v>754</v>
      </c>
      <c r="S13" s="366"/>
      <c r="T13" s="366"/>
    </row>
    <row r="14" spans="2:20">
      <c r="B14" s="370" t="s">
        <v>1463</v>
      </c>
      <c r="C14" s="366" t="s">
        <v>236</v>
      </c>
      <c r="D14" s="366" t="s">
        <v>755</v>
      </c>
      <c r="E14" s="366"/>
      <c r="F14" s="366"/>
      <c r="G14" s="366"/>
      <c r="H14" s="366"/>
      <c r="I14" s="366"/>
      <c r="J14" s="366"/>
      <c r="K14" s="366"/>
      <c r="L14" s="366" t="s">
        <v>756</v>
      </c>
      <c r="M14" s="366"/>
      <c r="N14" s="366"/>
      <c r="O14" s="366"/>
      <c r="P14" s="366" t="s">
        <v>757</v>
      </c>
      <c r="Q14" s="366"/>
      <c r="R14" s="366"/>
      <c r="S14" s="366"/>
      <c r="T14" s="366"/>
    </row>
    <row r="15" spans="2:20">
      <c r="B15" s="370" t="s">
        <v>232</v>
      </c>
      <c r="C15" s="366" t="s">
        <v>72</v>
      </c>
      <c r="D15" s="366" t="s">
        <v>758</v>
      </c>
      <c r="E15" s="366" t="s">
        <v>759</v>
      </c>
      <c r="F15" s="366" t="s">
        <v>760</v>
      </c>
      <c r="G15" s="366" t="s">
        <v>761</v>
      </c>
      <c r="H15" s="366" t="s">
        <v>1464</v>
      </c>
      <c r="I15" s="366" t="s">
        <v>762</v>
      </c>
      <c r="J15" s="366" t="s">
        <v>763</v>
      </c>
      <c r="K15" s="366" t="s">
        <v>764</v>
      </c>
      <c r="L15" s="366" t="s">
        <v>765</v>
      </c>
      <c r="M15" s="366" t="s">
        <v>766</v>
      </c>
      <c r="N15" s="366" t="s">
        <v>767</v>
      </c>
      <c r="O15" s="366"/>
      <c r="P15" s="366" t="s">
        <v>768</v>
      </c>
      <c r="Q15" s="366" t="s">
        <v>769</v>
      </c>
      <c r="R15" s="366" t="s">
        <v>770</v>
      </c>
      <c r="S15" s="366" t="s">
        <v>771</v>
      </c>
      <c r="T15" s="366" t="s">
        <v>772</v>
      </c>
    </row>
    <row r="16" spans="2:20">
      <c r="B16" s="370" t="s">
        <v>773</v>
      </c>
      <c r="C16" s="366" t="s">
        <v>233</v>
      </c>
      <c r="D16" s="366"/>
      <c r="E16" s="366"/>
      <c r="F16" s="366" t="s">
        <v>774</v>
      </c>
      <c r="G16" s="366"/>
      <c r="H16" s="366" t="s">
        <v>775</v>
      </c>
      <c r="I16" s="366" t="s">
        <v>776</v>
      </c>
      <c r="J16" s="366"/>
      <c r="K16" s="366" t="s">
        <v>777</v>
      </c>
      <c r="L16" s="366" t="s">
        <v>778</v>
      </c>
      <c r="M16" s="366"/>
      <c r="N16" s="366" t="s">
        <v>779</v>
      </c>
      <c r="O16" s="366"/>
      <c r="P16" s="366"/>
      <c r="Q16" s="366" t="s">
        <v>780</v>
      </c>
      <c r="R16" s="366"/>
      <c r="S16" s="366"/>
      <c r="T16" s="366" t="s">
        <v>781</v>
      </c>
    </row>
    <row r="17" spans="2:20">
      <c r="B17" s="370" t="s">
        <v>234</v>
      </c>
      <c r="C17" s="366" t="s">
        <v>61</v>
      </c>
      <c r="D17" s="366" t="s">
        <v>782</v>
      </c>
      <c r="E17" s="366" t="s">
        <v>783</v>
      </c>
      <c r="F17" s="366" t="s">
        <v>784</v>
      </c>
      <c r="G17" s="366" t="s">
        <v>785</v>
      </c>
      <c r="H17" s="366" t="s">
        <v>786</v>
      </c>
      <c r="I17" s="366" t="s">
        <v>787</v>
      </c>
      <c r="J17" s="366" t="s">
        <v>788</v>
      </c>
      <c r="K17" s="366" t="s">
        <v>789</v>
      </c>
      <c r="L17" s="366" t="s">
        <v>790</v>
      </c>
      <c r="M17" s="366" t="s">
        <v>791</v>
      </c>
      <c r="N17" s="366" t="s">
        <v>792</v>
      </c>
      <c r="O17" s="366"/>
      <c r="P17" s="366" t="s">
        <v>793</v>
      </c>
      <c r="Q17" s="366" t="s">
        <v>794</v>
      </c>
      <c r="R17" s="366" t="s">
        <v>795</v>
      </c>
      <c r="S17" s="366" t="s">
        <v>796</v>
      </c>
      <c r="T17" s="366" t="s">
        <v>797</v>
      </c>
    </row>
    <row r="18" spans="2:20">
      <c r="B18" s="370" t="s">
        <v>538</v>
      </c>
      <c r="C18" s="366" t="s">
        <v>119</v>
      </c>
      <c r="D18" s="366" t="s">
        <v>798</v>
      </c>
      <c r="E18" s="366" t="s">
        <v>799</v>
      </c>
      <c r="F18" s="366" t="s">
        <v>800</v>
      </c>
      <c r="G18" s="366"/>
      <c r="H18" s="366"/>
      <c r="I18" s="366" t="s">
        <v>801</v>
      </c>
      <c r="J18" s="366" t="s">
        <v>802</v>
      </c>
      <c r="K18" s="366"/>
      <c r="L18" s="366"/>
      <c r="M18" s="366" t="s">
        <v>803</v>
      </c>
      <c r="N18" s="366" t="s">
        <v>804</v>
      </c>
      <c r="O18" s="366"/>
      <c r="P18" s="366" t="s">
        <v>805</v>
      </c>
      <c r="Q18" s="366" t="s">
        <v>806</v>
      </c>
      <c r="R18" s="366" t="s">
        <v>807</v>
      </c>
      <c r="S18" s="366"/>
      <c r="T18" s="366"/>
    </row>
    <row r="19" spans="2:20">
      <c r="B19" s="370" t="s">
        <v>808</v>
      </c>
      <c r="C19" s="366" t="s">
        <v>240</v>
      </c>
      <c r="D19" s="366" t="s">
        <v>809</v>
      </c>
      <c r="E19" s="366" t="s">
        <v>810</v>
      </c>
      <c r="F19" s="366" t="s">
        <v>811</v>
      </c>
      <c r="G19" s="366" t="s">
        <v>812</v>
      </c>
      <c r="H19" s="366" t="s">
        <v>813</v>
      </c>
      <c r="I19" s="366" t="s">
        <v>814</v>
      </c>
      <c r="J19" s="366" t="s">
        <v>815</v>
      </c>
      <c r="K19" s="366" t="s">
        <v>816</v>
      </c>
      <c r="L19" s="366" t="s">
        <v>817</v>
      </c>
      <c r="M19" s="366" t="s">
        <v>818</v>
      </c>
      <c r="N19" s="366" t="s">
        <v>819</v>
      </c>
      <c r="O19" s="366"/>
      <c r="P19" s="366" t="s">
        <v>820</v>
      </c>
      <c r="Q19" s="366" t="s">
        <v>821</v>
      </c>
      <c r="R19" s="366" t="s">
        <v>822</v>
      </c>
      <c r="S19" s="366" t="s">
        <v>823</v>
      </c>
      <c r="T19" s="366" t="s">
        <v>824</v>
      </c>
    </row>
    <row r="20" spans="2:20">
      <c r="B20" s="370" t="s">
        <v>825</v>
      </c>
      <c r="C20" s="366" t="s">
        <v>826</v>
      </c>
      <c r="D20" s="366" t="s">
        <v>827</v>
      </c>
      <c r="E20" s="366"/>
      <c r="F20" s="366"/>
      <c r="G20" s="366"/>
      <c r="H20" s="366"/>
      <c r="I20" s="366"/>
      <c r="J20" s="366"/>
      <c r="K20" s="366"/>
      <c r="L20" s="366"/>
      <c r="M20" s="366"/>
      <c r="N20" s="366"/>
      <c r="O20" s="366"/>
      <c r="P20" s="366"/>
      <c r="Q20" s="366"/>
      <c r="R20" s="366" t="s">
        <v>828</v>
      </c>
      <c r="S20" s="366"/>
      <c r="T20" s="366"/>
    </row>
    <row r="21" spans="2:20">
      <c r="B21" s="370" t="s">
        <v>207</v>
      </c>
      <c r="C21" s="366" t="s">
        <v>54</v>
      </c>
      <c r="D21" s="366" t="s">
        <v>829</v>
      </c>
      <c r="E21" s="366" t="s">
        <v>830</v>
      </c>
      <c r="F21" s="366" t="s">
        <v>831</v>
      </c>
      <c r="G21" s="366" t="s">
        <v>832</v>
      </c>
      <c r="H21" s="366" t="s">
        <v>833</v>
      </c>
      <c r="I21" s="366" t="s">
        <v>834</v>
      </c>
      <c r="J21" s="366" t="s">
        <v>835</v>
      </c>
      <c r="K21" s="366" t="s">
        <v>836</v>
      </c>
      <c r="L21" s="366" t="s">
        <v>837</v>
      </c>
      <c r="M21" s="366" t="s">
        <v>838</v>
      </c>
      <c r="N21" s="366" t="s">
        <v>839</v>
      </c>
      <c r="O21" s="366" t="s">
        <v>840</v>
      </c>
      <c r="P21" s="366" t="s">
        <v>600</v>
      </c>
      <c r="Q21" s="366" t="s">
        <v>841</v>
      </c>
      <c r="R21" s="366" t="s">
        <v>842</v>
      </c>
      <c r="S21" s="366" t="s">
        <v>843</v>
      </c>
      <c r="T21" s="366" t="s">
        <v>844</v>
      </c>
    </row>
    <row r="22" spans="2:20">
      <c r="B22" s="370" t="s">
        <v>845</v>
      </c>
      <c r="C22" s="366" t="s">
        <v>111</v>
      </c>
      <c r="D22" s="366" t="s">
        <v>846</v>
      </c>
      <c r="E22" s="366" t="s">
        <v>847</v>
      </c>
      <c r="F22" s="366" t="s">
        <v>848</v>
      </c>
      <c r="G22" s="366"/>
      <c r="H22" s="366"/>
      <c r="I22" s="366" t="s">
        <v>849</v>
      </c>
      <c r="J22" s="366" t="s">
        <v>850</v>
      </c>
      <c r="K22" s="366"/>
      <c r="L22" s="366"/>
      <c r="M22" s="366" t="s">
        <v>851</v>
      </c>
      <c r="N22" s="366" t="s">
        <v>852</v>
      </c>
      <c r="O22" s="366"/>
      <c r="P22" s="366" t="s">
        <v>853</v>
      </c>
      <c r="Q22" s="366" t="s">
        <v>854</v>
      </c>
      <c r="R22" s="366" t="s">
        <v>855</v>
      </c>
      <c r="S22" s="366"/>
      <c r="T22" s="366"/>
    </row>
    <row r="23" spans="2:20">
      <c r="B23" s="370" t="s">
        <v>856</v>
      </c>
      <c r="C23" s="366" t="s">
        <v>857</v>
      </c>
      <c r="D23" s="366"/>
      <c r="E23" s="366" t="s">
        <v>858</v>
      </c>
      <c r="F23" s="366" t="s">
        <v>859</v>
      </c>
      <c r="G23" s="366" t="s">
        <v>860</v>
      </c>
      <c r="H23" s="366" t="s">
        <v>861</v>
      </c>
      <c r="I23" s="366" t="s">
        <v>862</v>
      </c>
      <c r="J23" s="366" t="s">
        <v>863</v>
      </c>
      <c r="K23" s="366" t="s">
        <v>864</v>
      </c>
      <c r="L23" s="366" t="s">
        <v>865</v>
      </c>
      <c r="M23" s="366" t="s">
        <v>866</v>
      </c>
      <c r="N23" s="366" t="s">
        <v>867</v>
      </c>
      <c r="O23" s="366"/>
      <c r="P23" s="366" t="s">
        <v>868</v>
      </c>
      <c r="Q23" s="366" t="s">
        <v>869</v>
      </c>
      <c r="R23" s="366" t="s">
        <v>870</v>
      </c>
      <c r="S23" s="366"/>
      <c r="T23" s="366"/>
    </row>
    <row r="24" spans="2:20">
      <c r="B24" s="370" t="s">
        <v>177</v>
      </c>
      <c r="C24" s="366" t="s">
        <v>496</v>
      </c>
      <c r="D24" s="366" t="s">
        <v>871</v>
      </c>
      <c r="E24" s="366"/>
      <c r="F24" s="366"/>
      <c r="G24" s="366"/>
      <c r="H24" s="366"/>
      <c r="I24" s="366" t="s">
        <v>872</v>
      </c>
      <c r="J24" s="366" t="s">
        <v>873</v>
      </c>
      <c r="K24" s="366"/>
      <c r="L24" s="366" t="s">
        <v>874</v>
      </c>
      <c r="M24" s="366" t="s">
        <v>875</v>
      </c>
      <c r="N24" s="366" t="s">
        <v>876</v>
      </c>
      <c r="O24" s="366" t="s">
        <v>877</v>
      </c>
      <c r="P24" s="366" t="s">
        <v>878</v>
      </c>
      <c r="Q24" s="366" t="s">
        <v>879</v>
      </c>
      <c r="R24" s="366" t="s">
        <v>880</v>
      </c>
      <c r="S24" s="366" t="s">
        <v>881</v>
      </c>
      <c r="T24" s="366"/>
    </row>
    <row r="25" spans="2:20">
      <c r="B25" s="370" t="s">
        <v>162</v>
      </c>
      <c r="C25" s="366" t="s">
        <v>163</v>
      </c>
      <c r="D25" s="366" t="s">
        <v>882</v>
      </c>
      <c r="E25" s="366" t="s">
        <v>883</v>
      </c>
      <c r="F25" s="366" t="s">
        <v>884</v>
      </c>
      <c r="G25" s="366" t="s">
        <v>885</v>
      </c>
      <c r="H25" s="366"/>
      <c r="I25" s="366" t="s">
        <v>886</v>
      </c>
      <c r="J25" s="366" t="s">
        <v>887</v>
      </c>
      <c r="K25" s="366"/>
      <c r="L25" s="366" t="s">
        <v>888</v>
      </c>
      <c r="M25" s="366" t="s">
        <v>889</v>
      </c>
      <c r="N25" s="366" t="s">
        <v>890</v>
      </c>
      <c r="O25" s="366" t="s">
        <v>891</v>
      </c>
      <c r="P25" s="366" t="s">
        <v>892</v>
      </c>
      <c r="Q25" s="366" t="s">
        <v>893</v>
      </c>
      <c r="R25" s="366" t="s">
        <v>894</v>
      </c>
      <c r="S25" s="366" t="s">
        <v>895</v>
      </c>
      <c r="T25" s="366"/>
    </row>
    <row r="26" spans="2:20" ht="30.75">
      <c r="B26" s="370" t="s">
        <v>1493</v>
      </c>
      <c r="C26" s="366" t="s">
        <v>147</v>
      </c>
      <c r="D26" s="366" t="s">
        <v>896</v>
      </c>
      <c r="E26" s="366" t="s">
        <v>897</v>
      </c>
      <c r="F26" s="366" t="s">
        <v>898</v>
      </c>
      <c r="G26" s="366" t="s">
        <v>899</v>
      </c>
      <c r="H26" s="366"/>
      <c r="I26" s="366" t="s">
        <v>900</v>
      </c>
      <c r="J26" s="366" t="s">
        <v>901</v>
      </c>
      <c r="K26" s="366"/>
      <c r="L26" s="366" t="s">
        <v>902</v>
      </c>
      <c r="M26" s="366" t="s">
        <v>903</v>
      </c>
      <c r="N26" s="366" t="s">
        <v>904</v>
      </c>
      <c r="O26" s="366"/>
      <c r="P26" s="366" t="s">
        <v>905</v>
      </c>
      <c r="Q26" s="366" t="s">
        <v>906</v>
      </c>
      <c r="R26" s="366" t="s">
        <v>907</v>
      </c>
      <c r="S26" s="366" t="s">
        <v>908</v>
      </c>
      <c r="T26" s="366"/>
    </row>
    <row r="27" spans="2:20">
      <c r="B27" s="370" t="s">
        <v>909</v>
      </c>
      <c r="C27" s="366" t="s">
        <v>910</v>
      </c>
      <c r="D27" s="366" t="s">
        <v>911</v>
      </c>
      <c r="E27" s="366"/>
      <c r="F27" s="366"/>
      <c r="G27" s="366"/>
      <c r="H27" s="366"/>
      <c r="I27" s="366"/>
      <c r="J27" s="366"/>
      <c r="K27" s="366"/>
      <c r="L27" s="366" t="s">
        <v>912</v>
      </c>
      <c r="M27" s="366" t="s">
        <v>913</v>
      </c>
      <c r="N27" s="366" t="s">
        <v>914</v>
      </c>
      <c r="O27" s="366" t="s">
        <v>915</v>
      </c>
      <c r="P27" s="366" t="s">
        <v>916</v>
      </c>
      <c r="Q27" s="366" t="s">
        <v>917</v>
      </c>
      <c r="R27" s="366" t="s">
        <v>918</v>
      </c>
      <c r="S27" s="366"/>
      <c r="T27" s="366"/>
    </row>
    <row r="28" spans="2:20">
      <c r="B28" s="370" t="s">
        <v>919</v>
      </c>
      <c r="C28" s="366" t="s">
        <v>920</v>
      </c>
      <c r="D28" s="366" t="s">
        <v>921</v>
      </c>
      <c r="E28" s="366" t="s">
        <v>922</v>
      </c>
      <c r="F28" s="366" t="s">
        <v>923</v>
      </c>
      <c r="G28" s="366" t="s">
        <v>924</v>
      </c>
      <c r="H28" s="366"/>
      <c r="I28" s="366" t="s">
        <v>925</v>
      </c>
      <c r="J28" s="366" t="s">
        <v>926</v>
      </c>
      <c r="K28" s="366"/>
      <c r="L28" s="366" t="s">
        <v>927</v>
      </c>
      <c r="M28" s="366" t="s">
        <v>928</v>
      </c>
      <c r="N28" s="366" t="s">
        <v>929</v>
      </c>
      <c r="O28" s="366" t="s">
        <v>930</v>
      </c>
      <c r="P28" s="366" t="s">
        <v>931</v>
      </c>
      <c r="Q28" s="366" t="s">
        <v>932</v>
      </c>
      <c r="R28" s="366" t="s">
        <v>933</v>
      </c>
      <c r="S28" s="366"/>
      <c r="T28" s="366"/>
    </row>
    <row r="29" spans="2:20">
      <c r="B29" s="370" t="s">
        <v>1494</v>
      </c>
      <c r="C29" s="366" t="s">
        <v>934</v>
      </c>
      <c r="D29" s="366" t="s">
        <v>935</v>
      </c>
      <c r="E29" s="366" t="s">
        <v>936</v>
      </c>
      <c r="F29" s="366" t="s">
        <v>937</v>
      </c>
      <c r="G29" s="366" t="s">
        <v>938</v>
      </c>
      <c r="H29" s="366"/>
      <c r="I29" s="366" t="s">
        <v>939</v>
      </c>
      <c r="J29" s="366" t="s">
        <v>940</v>
      </c>
      <c r="K29" s="366"/>
      <c r="L29" s="366" t="s">
        <v>941</v>
      </c>
      <c r="M29" s="366" t="s">
        <v>942</v>
      </c>
      <c r="N29" s="366" t="s">
        <v>943</v>
      </c>
      <c r="O29" s="366" t="s">
        <v>944</v>
      </c>
      <c r="P29" s="366" t="s">
        <v>945</v>
      </c>
      <c r="Q29" s="366" t="s">
        <v>946</v>
      </c>
      <c r="R29" s="366" t="s">
        <v>947</v>
      </c>
      <c r="S29" s="366" t="s">
        <v>948</v>
      </c>
      <c r="T29" s="366"/>
    </row>
    <row r="30" spans="2:20">
      <c r="B30" s="370" t="s">
        <v>1468</v>
      </c>
      <c r="C30" s="366" t="s">
        <v>228</v>
      </c>
      <c r="D30" s="366" t="s">
        <v>949</v>
      </c>
      <c r="E30" s="366"/>
      <c r="F30" s="366"/>
      <c r="G30" s="366"/>
      <c r="H30" s="366" t="s">
        <v>950</v>
      </c>
      <c r="I30" s="366" t="s">
        <v>951</v>
      </c>
      <c r="J30" s="366"/>
      <c r="K30" s="366" t="s">
        <v>952</v>
      </c>
      <c r="L30" s="366" t="s">
        <v>953</v>
      </c>
      <c r="M30" s="366" t="s">
        <v>954</v>
      </c>
      <c r="N30" s="366" t="s">
        <v>955</v>
      </c>
      <c r="O30" s="366" t="s">
        <v>956</v>
      </c>
      <c r="P30" s="366" t="s">
        <v>957</v>
      </c>
      <c r="Q30" s="366" t="s">
        <v>958</v>
      </c>
      <c r="R30" s="366" t="s">
        <v>959</v>
      </c>
      <c r="S30" s="366" t="s">
        <v>960</v>
      </c>
      <c r="T30" s="366" t="s">
        <v>961</v>
      </c>
    </row>
    <row r="31" spans="2:20">
      <c r="B31" s="370" t="s">
        <v>962</v>
      </c>
      <c r="C31" s="366" t="s">
        <v>196</v>
      </c>
      <c r="D31" s="366" t="s">
        <v>963</v>
      </c>
      <c r="E31" s="366" t="s">
        <v>964</v>
      </c>
      <c r="F31" s="366" t="s">
        <v>965</v>
      </c>
      <c r="G31" s="366"/>
      <c r="H31" s="366"/>
      <c r="I31" s="366" t="s">
        <v>966</v>
      </c>
      <c r="J31" s="366" t="s">
        <v>967</v>
      </c>
      <c r="K31" s="366"/>
      <c r="L31" s="366"/>
      <c r="M31" s="366" t="s">
        <v>968</v>
      </c>
      <c r="N31" s="366" t="s">
        <v>969</v>
      </c>
      <c r="O31" s="366"/>
      <c r="P31" s="366" t="s">
        <v>970</v>
      </c>
      <c r="Q31" s="366" t="s">
        <v>971</v>
      </c>
      <c r="R31" s="366" t="s">
        <v>972</v>
      </c>
      <c r="S31" s="366"/>
      <c r="T31" s="366"/>
    </row>
    <row r="32" spans="2:20">
      <c r="B32" s="370" t="s">
        <v>1469</v>
      </c>
      <c r="C32" s="366" t="s">
        <v>227</v>
      </c>
      <c r="D32" s="366" t="s">
        <v>973</v>
      </c>
      <c r="E32" s="366" t="s">
        <v>974</v>
      </c>
      <c r="F32" s="366" t="s">
        <v>975</v>
      </c>
      <c r="G32" s="366"/>
      <c r="H32" s="366"/>
      <c r="I32" s="366" t="s">
        <v>976</v>
      </c>
      <c r="J32" s="366" t="s">
        <v>977</v>
      </c>
      <c r="K32" s="366"/>
      <c r="L32" s="366" t="s">
        <v>978</v>
      </c>
      <c r="M32" s="366" t="s">
        <v>979</v>
      </c>
      <c r="N32" s="366" t="s">
        <v>980</v>
      </c>
      <c r="O32" s="366" t="s">
        <v>981</v>
      </c>
      <c r="P32" s="366" t="s">
        <v>982</v>
      </c>
      <c r="Q32" s="366" t="s">
        <v>983</v>
      </c>
      <c r="R32" s="366" t="s">
        <v>984</v>
      </c>
      <c r="S32" s="366" t="s">
        <v>985</v>
      </c>
      <c r="T32" s="366"/>
    </row>
    <row r="33" spans="2:20">
      <c r="B33" s="370" t="s">
        <v>986</v>
      </c>
      <c r="C33" s="366" t="s">
        <v>195</v>
      </c>
      <c r="D33" s="366" t="s">
        <v>987</v>
      </c>
      <c r="E33" s="366"/>
      <c r="F33" s="366"/>
      <c r="G33" s="366"/>
      <c r="H33" s="366"/>
      <c r="I33" s="366"/>
      <c r="J33" s="366"/>
      <c r="K33" s="366"/>
      <c r="L33" s="366"/>
      <c r="M33" s="366"/>
      <c r="N33" s="366"/>
      <c r="O33" s="366"/>
      <c r="P33" s="366" t="s">
        <v>988</v>
      </c>
      <c r="Q33" s="366"/>
      <c r="R33" s="366"/>
      <c r="S33" s="366"/>
      <c r="T33" s="366"/>
    </row>
    <row r="34" spans="2:20">
      <c r="B34" s="370" t="s">
        <v>1470</v>
      </c>
      <c r="C34" s="366" t="s">
        <v>497</v>
      </c>
      <c r="D34" s="366" t="s">
        <v>989</v>
      </c>
      <c r="E34" s="366"/>
      <c r="F34" s="366"/>
      <c r="G34" s="366"/>
      <c r="H34" s="366"/>
      <c r="I34" s="366" t="s">
        <v>990</v>
      </c>
      <c r="J34" s="366" t="s">
        <v>991</v>
      </c>
      <c r="K34" s="366"/>
      <c r="L34" s="366" t="s">
        <v>992</v>
      </c>
      <c r="M34" s="366" t="s">
        <v>993</v>
      </c>
      <c r="N34" s="366" t="s">
        <v>994</v>
      </c>
      <c r="O34" s="366" t="s">
        <v>995</v>
      </c>
      <c r="P34" s="366" t="s">
        <v>996</v>
      </c>
      <c r="Q34" s="366" t="s">
        <v>997</v>
      </c>
      <c r="R34" s="366" t="s">
        <v>998</v>
      </c>
      <c r="S34" s="366" t="s">
        <v>999</v>
      </c>
      <c r="T34" s="366"/>
    </row>
    <row r="35" spans="2:20">
      <c r="B35" s="370" t="s">
        <v>1471</v>
      </c>
      <c r="C35" s="366" t="s">
        <v>155</v>
      </c>
      <c r="D35" s="366" t="s">
        <v>1000</v>
      </c>
      <c r="E35" s="366" t="s">
        <v>1001</v>
      </c>
      <c r="F35" s="366" t="s">
        <v>1002</v>
      </c>
      <c r="G35" s="366" t="s">
        <v>1003</v>
      </c>
      <c r="H35" s="366"/>
      <c r="I35" s="366" t="s">
        <v>1004</v>
      </c>
      <c r="J35" s="366" t="s">
        <v>1005</v>
      </c>
      <c r="K35" s="366"/>
      <c r="L35" s="366" t="s">
        <v>1006</v>
      </c>
      <c r="M35" s="366" t="s">
        <v>1007</v>
      </c>
      <c r="N35" s="366" t="s">
        <v>1008</v>
      </c>
      <c r="O35" s="366" t="s">
        <v>1009</v>
      </c>
      <c r="P35" s="366" t="s">
        <v>1010</v>
      </c>
      <c r="Q35" s="366" t="s">
        <v>1011</v>
      </c>
      <c r="R35" s="366" t="s">
        <v>1012</v>
      </c>
      <c r="S35" s="366" t="s">
        <v>1013</v>
      </c>
      <c r="T35" s="366"/>
    </row>
    <row r="36" spans="2:20">
      <c r="B36" s="370" t="s">
        <v>1472</v>
      </c>
      <c r="C36" s="366" t="s">
        <v>148</v>
      </c>
      <c r="D36" s="366" t="s">
        <v>1014</v>
      </c>
      <c r="E36" s="366" t="s">
        <v>1015</v>
      </c>
      <c r="F36" s="366" t="s">
        <v>1016</v>
      </c>
      <c r="G36" s="366"/>
      <c r="H36" s="366"/>
      <c r="I36" s="366"/>
      <c r="J36" s="366"/>
      <c r="K36" s="366"/>
      <c r="L36" s="366" t="s">
        <v>1017</v>
      </c>
      <c r="M36" s="366" t="s">
        <v>1018</v>
      </c>
      <c r="N36" s="366" t="s">
        <v>1019</v>
      </c>
      <c r="O36" s="366" t="s">
        <v>1020</v>
      </c>
      <c r="P36" s="366" t="s">
        <v>1021</v>
      </c>
      <c r="Q36" s="366" t="s">
        <v>1022</v>
      </c>
      <c r="R36" s="366" t="s">
        <v>1023</v>
      </c>
      <c r="S36" s="366" t="s">
        <v>1024</v>
      </c>
      <c r="T36" s="366"/>
    </row>
    <row r="37" spans="2:20">
      <c r="B37" s="370" t="s">
        <v>1473</v>
      </c>
      <c r="C37" s="366" t="s">
        <v>1025</v>
      </c>
      <c r="D37" s="366" t="s">
        <v>1026</v>
      </c>
      <c r="E37" s="366"/>
      <c r="F37" s="366"/>
      <c r="G37" s="366"/>
      <c r="H37" s="366"/>
      <c r="I37" s="366" t="s">
        <v>1027</v>
      </c>
      <c r="J37" s="366" t="s">
        <v>1028</v>
      </c>
      <c r="K37" s="366"/>
      <c r="L37" s="366" t="s">
        <v>1029</v>
      </c>
      <c r="M37" s="366" t="s">
        <v>1030</v>
      </c>
      <c r="N37" s="366" t="s">
        <v>1031</v>
      </c>
      <c r="O37" s="366" t="s">
        <v>1032</v>
      </c>
      <c r="P37" s="366" t="s">
        <v>1033</v>
      </c>
      <c r="Q37" s="366" t="s">
        <v>1034</v>
      </c>
      <c r="R37" s="366" t="s">
        <v>1035</v>
      </c>
      <c r="S37" s="366" t="s">
        <v>1036</v>
      </c>
      <c r="T37" s="366"/>
    </row>
    <row r="38" spans="2:20">
      <c r="B38" s="370" t="s">
        <v>1474</v>
      </c>
      <c r="C38" s="366" t="s">
        <v>1037</v>
      </c>
      <c r="D38" s="366" t="s">
        <v>1038</v>
      </c>
      <c r="E38" s="366" t="s">
        <v>1039</v>
      </c>
      <c r="F38" s="366" t="s">
        <v>1040</v>
      </c>
      <c r="G38" s="366" t="s">
        <v>1041</v>
      </c>
      <c r="H38" s="366"/>
      <c r="I38" s="366" t="s">
        <v>1042</v>
      </c>
      <c r="J38" s="366" t="s">
        <v>1043</v>
      </c>
      <c r="K38" s="366"/>
      <c r="L38" s="366" t="s">
        <v>1044</v>
      </c>
      <c r="M38" s="366" t="s">
        <v>1045</v>
      </c>
      <c r="N38" s="366" t="s">
        <v>1046</v>
      </c>
      <c r="O38" s="366" t="s">
        <v>1047</v>
      </c>
      <c r="P38" s="366" t="s">
        <v>1048</v>
      </c>
      <c r="Q38" s="366" t="s">
        <v>1049</v>
      </c>
      <c r="R38" s="366" t="s">
        <v>1050</v>
      </c>
      <c r="S38" s="366" t="s">
        <v>1051</v>
      </c>
      <c r="T38" s="366"/>
    </row>
    <row r="39" spans="2:20">
      <c r="B39" s="370" t="s">
        <v>1475</v>
      </c>
      <c r="C39" s="366" t="s">
        <v>1052</v>
      </c>
      <c r="D39" s="366"/>
      <c r="E39" s="366" t="s">
        <v>1053</v>
      </c>
      <c r="F39" s="366" t="s">
        <v>1054</v>
      </c>
      <c r="G39" s="366"/>
      <c r="H39" s="366"/>
      <c r="I39" s="366" t="s">
        <v>1055</v>
      </c>
      <c r="J39" s="366"/>
      <c r="K39" s="366"/>
      <c r="L39" s="366"/>
      <c r="M39" s="366"/>
      <c r="N39" s="366" t="s">
        <v>1056</v>
      </c>
      <c r="O39" s="366"/>
      <c r="P39" s="366" t="s">
        <v>1057</v>
      </c>
      <c r="Q39" s="366"/>
      <c r="R39" s="366" t="s">
        <v>1058</v>
      </c>
      <c r="S39" s="366"/>
      <c r="T39" s="366"/>
    </row>
    <row r="40" spans="2:20">
      <c r="B40" s="370" t="s">
        <v>1476</v>
      </c>
      <c r="C40" s="366" t="s">
        <v>222</v>
      </c>
      <c r="D40" s="366" t="s">
        <v>1059</v>
      </c>
      <c r="E40" s="366" t="s">
        <v>1060</v>
      </c>
      <c r="F40" s="366" t="s">
        <v>1061</v>
      </c>
      <c r="G40" s="366" t="s">
        <v>1062</v>
      </c>
      <c r="H40" s="366" t="s">
        <v>1063</v>
      </c>
      <c r="I40" s="366" t="s">
        <v>1064</v>
      </c>
      <c r="J40" s="366" t="s">
        <v>1065</v>
      </c>
      <c r="K40" s="366" t="s">
        <v>1066</v>
      </c>
      <c r="L40" s="366" t="s">
        <v>1067</v>
      </c>
      <c r="M40" s="366" t="s">
        <v>1068</v>
      </c>
      <c r="N40" s="366" t="s">
        <v>1069</v>
      </c>
      <c r="O40" s="366" t="s">
        <v>1070</v>
      </c>
      <c r="P40" s="366" t="s">
        <v>1071</v>
      </c>
      <c r="Q40" s="366" t="s">
        <v>1072</v>
      </c>
      <c r="R40" s="366" t="s">
        <v>1073</v>
      </c>
      <c r="S40" s="366" t="s">
        <v>1074</v>
      </c>
      <c r="T40" s="366" t="s">
        <v>1075</v>
      </c>
    </row>
    <row r="41" spans="2:20">
      <c r="B41" s="370" t="s">
        <v>1477</v>
      </c>
      <c r="C41" s="366" t="s">
        <v>191</v>
      </c>
      <c r="D41" s="366"/>
      <c r="E41" s="366"/>
      <c r="F41" s="366"/>
      <c r="G41" s="366"/>
      <c r="H41" s="366"/>
      <c r="I41" s="366"/>
      <c r="J41" s="366"/>
      <c r="K41" s="366"/>
      <c r="L41" s="366"/>
      <c r="M41" s="366"/>
      <c r="N41" s="366"/>
      <c r="O41" s="366"/>
      <c r="P41" s="366"/>
      <c r="Q41" s="366"/>
      <c r="R41" s="366"/>
      <c r="S41" s="366"/>
      <c r="T41" s="366"/>
    </row>
    <row r="42" spans="2:20">
      <c r="B42" s="370" t="s">
        <v>1478</v>
      </c>
      <c r="C42" s="366" t="s">
        <v>221</v>
      </c>
      <c r="D42" s="366" t="s">
        <v>1076</v>
      </c>
      <c r="E42" s="366"/>
      <c r="F42" s="366"/>
      <c r="G42" s="366"/>
      <c r="H42" s="366"/>
      <c r="I42" s="366"/>
      <c r="J42" s="366"/>
      <c r="K42" s="366"/>
      <c r="L42" s="366"/>
      <c r="M42" s="366"/>
      <c r="N42" s="366"/>
      <c r="O42" s="366"/>
      <c r="P42" s="366"/>
      <c r="Q42" s="366"/>
      <c r="R42" s="366" t="s">
        <v>1077</v>
      </c>
      <c r="S42" s="366"/>
      <c r="T42" s="366" t="s">
        <v>1078</v>
      </c>
    </row>
    <row r="43" spans="2:20">
      <c r="B43" s="370" t="s">
        <v>1479</v>
      </c>
      <c r="C43" s="366" t="s">
        <v>225</v>
      </c>
      <c r="D43" s="366" t="s">
        <v>1079</v>
      </c>
      <c r="E43" s="366" t="s">
        <v>1080</v>
      </c>
      <c r="F43" s="366" t="s">
        <v>1081</v>
      </c>
      <c r="G43" s="366" t="s">
        <v>1082</v>
      </c>
      <c r="H43" s="366"/>
      <c r="I43" s="366" t="s">
        <v>1083</v>
      </c>
      <c r="J43" s="366" t="s">
        <v>1084</v>
      </c>
      <c r="K43" s="366"/>
      <c r="L43" s="366" t="s">
        <v>1085</v>
      </c>
      <c r="M43" s="366" t="s">
        <v>1086</v>
      </c>
      <c r="N43" s="366" t="s">
        <v>1087</v>
      </c>
      <c r="O43" s="366" t="s">
        <v>1088</v>
      </c>
      <c r="P43" s="366" t="s">
        <v>1089</v>
      </c>
      <c r="Q43" s="366" t="s">
        <v>1090</v>
      </c>
      <c r="R43" s="366" t="s">
        <v>1091</v>
      </c>
      <c r="S43" s="366" t="s">
        <v>1092</v>
      </c>
      <c r="T43" s="366"/>
    </row>
    <row r="44" spans="2:20">
      <c r="B44" s="370" t="s">
        <v>1480</v>
      </c>
      <c r="C44" s="366" t="s">
        <v>193</v>
      </c>
      <c r="D44" s="366" t="s">
        <v>1093</v>
      </c>
      <c r="E44" s="366"/>
      <c r="F44" s="366"/>
      <c r="G44" s="366"/>
      <c r="H44" s="366"/>
      <c r="I44" s="366" t="s">
        <v>1094</v>
      </c>
      <c r="J44" s="366"/>
      <c r="K44" s="366"/>
      <c r="L44" s="366"/>
      <c r="M44" s="366" t="s">
        <v>1095</v>
      </c>
      <c r="N44" s="366" t="s">
        <v>1096</v>
      </c>
      <c r="O44" s="366"/>
      <c r="P44" s="366" t="s">
        <v>1097</v>
      </c>
      <c r="Q44" s="366" t="s">
        <v>1098</v>
      </c>
      <c r="R44" s="366" t="s">
        <v>1099</v>
      </c>
      <c r="S44" s="366"/>
      <c r="T44" s="366"/>
    </row>
    <row r="45" spans="2:20">
      <c r="B45" s="370" t="s">
        <v>1481</v>
      </c>
      <c r="C45" s="366" t="s">
        <v>224</v>
      </c>
      <c r="D45" s="366" t="s">
        <v>1100</v>
      </c>
      <c r="E45" s="366"/>
      <c r="F45" s="366"/>
      <c r="G45" s="366"/>
      <c r="H45" s="366"/>
      <c r="I45" s="366" t="s">
        <v>1101</v>
      </c>
      <c r="J45" s="366"/>
      <c r="K45" s="366"/>
      <c r="L45" s="366" t="s">
        <v>1102</v>
      </c>
      <c r="M45" s="366" t="s">
        <v>1103</v>
      </c>
      <c r="N45" s="366" t="s">
        <v>1104</v>
      </c>
      <c r="O45" s="366"/>
      <c r="P45" s="366" t="s">
        <v>1105</v>
      </c>
      <c r="Q45" s="366" t="s">
        <v>1106</v>
      </c>
      <c r="R45" s="366" t="s">
        <v>1107</v>
      </c>
      <c r="S45" s="366" t="s">
        <v>1108</v>
      </c>
      <c r="T45" s="366"/>
    </row>
    <row r="46" spans="2:20">
      <c r="B46" s="370" t="s">
        <v>1482</v>
      </c>
      <c r="C46" s="366" t="s">
        <v>146</v>
      </c>
      <c r="D46" s="366" t="s">
        <v>1109</v>
      </c>
      <c r="E46" s="366"/>
      <c r="F46" s="366"/>
      <c r="G46" s="366"/>
      <c r="H46" s="366"/>
      <c r="I46" s="366" t="s">
        <v>1110</v>
      </c>
      <c r="J46" s="366" t="s">
        <v>1111</v>
      </c>
      <c r="K46" s="366"/>
      <c r="L46" s="366" t="s">
        <v>1112</v>
      </c>
      <c r="M46" s="366" t="s">
        <v>1113</v>
      </c>
      <c r="N46" s="366" t="s">
        <v>1114</v>
      </c>
      <c r="O46" s="366" t="s">
        <v>1115</v>
      </c>
      <c r="P46" s="366" t="s">
        <v>1116</v>
      </c>
      <c r="Q46" s="366" t="s">
        <v>1117</v>
      </c>
      <c r="R46" s="366" t="s">
        <v>1118</v>
      </c>
      <c r="S46" s="366" t="s">
        <v>1119</v>
      </c>
      <c r="T46" s="366"/>
    </row>
    <row r="47" spans="2:20">
      <c r="B47" s="370" t="s">
        <v>1483</v>
      </c>
      <c r="C47" s="366" t="s">
        <v>1120</v>
      </c>
      <c r="D47" s="366" t="s">
        <v>1121</v>
      </c>
      <c r="E47" s="366"/>
      <c r="F47" s="366"/>
      <c r="G47" s="366"/>
      <c r="H47" s="366"/>
      <c r="I47" s="366" t="s">
        <v>1122</v>
      </c>
      <c r="J47" s="366" t="s">
        <v>1123</v>
      </c>
      <c r="K47" s="366"/>
      <c r="L47" s="366" t="s">
        <v>1124</v>
      </c>
      <c r="M47" s="366" t="s">
        <v>1125</v>
      </c>
      <c r="N47" s="366" t="s">
        <v>1126</v>
      </c>
      <c r="O47" s="366" t="s">
        <v>1127</v>
      </c>
      <c r="P47" s="366" t="s">
        <v>1128</v>
      </c>
      <c r="Q47" s="366" t="s">
        <v>1129</v>
      </c>
      <c r="R47" s="366" t="s">
        <v>1130</v>
      </c>
      <c r="S47" s="366" t="s">
        <v>1131</v>
      </c>
      <c r="T47" s="366"/>
    </row>
    <row r="48" spans="2:20">
      <c r="B48" s="370" t="s">
        <v>229</v>
      </c>
      <c r="C48" s="366" t="s">
        <v>230</v>
      </c>
      <c r="D48" s="366" t="s">
        <v>1132</v>
      </c>
      <c r="E48" s="366" t="s">
        <v>1133</v>
      </c>
      <c r="F48" s="366"/>
      <c r="G48" s="366" t="s">
        <v>1134</v>
      </c>
      <c r="H48" s="366"/>
      <c r="I48" s="366" t="s">
        <v>1135</v>
      </c>
      <c r="J48" s="366" t="s">
        <v>1136</v>
      </c>
      <c r="K48" s="366" t="s">
        <v>1137</v>
      </c>
      <c r="L48" s="366" t="s">
        <v>1138</v>
      </c>
      <c r="M48" s="366" t="s">
        <v>1139</v>
      </c>
      <c r="N48" s="366" t="s">
        <v>1140</v>
      </c>
      <c r="O48" s="366" t="s">
        <v>1141</v>
      </c>
      <c r="P48" s="366" t="s">
        <v>1142</v>
      </c>
      <c r="Q48" s="366" t="s">
        <v>1143</v>
      </c>
      <c r="R48" s="366" t="s">
        <v>1144</v>
      </c>
      <c r="S48" s="366" t="s">
        <v>1145</v>
      </c>
      <c r="T48" s="366" t="s">
        <v>1146</v>
      </c>
    </row>
    <row r="49" spans="2:20">
      <c r="B49" s="370" t="s">
        <v>1147</v>
      </c>
      <c r="C49" s="366" t="s">
        <v>198</v>
      </c>
      <c r="D49" s="366" t="s">
        <v>1148</v>
      </c>
      <c r="E49" s="366"/>
      <c r="F49" s="366"/>
      <c r="G49" s="366"/>
      <c r="H49" s="366"/>
      <c r="I49" s="366" t="s">
        <v>1149</v>
      </c>
      <c r="J49" s="366"/>
      <c r="K49" s="366"/>
      <c r="L49" s="366"/>
      <c r="M49" s="366" t="s">
        <v>1150</v>
      </c>
      <c r="N49" s="366" t="s">
        <v>1151</v>
      </c>
      <c r="O49" s="366"/>
      <c r="P49" s="366" t="s">
        <v>1152</v>
      </c>
      <c r="Q49" s="366" t="s">
        <v>1153</v>
      </c>
      <c r="R49" s="366" t="s">
        <v>1154</v>
      </c>
      <c r="S49" s="366"/>
      <c r="T49" s="366"/>
    </row>
    <row r="50" spans="2:20">
      <c r="B50" s="370" t="s">
        <v>1155</v>
      </c>
      <c r="C50" s="366" t="s">
        <v>1156</v>
      </c>
      <c r="D50" s="366" t="s">
        <v>1157</v>
      </c>
      <c r="E50" s="366"/>
      <c r="F50" s="366"/>
      <c r="G50" s="366"/>
      <c r="H50" s="366"/>
      <c r="I50" s="366"/>
      <c r="J50" s="366"/>
      <c r="K50" s="366"/>
      <c r="L50" s="366"/>
      <c r="M50" s="366"/>
      <c r="N50" s="366"/>
      <c r="O50" s="366"/>
      <c r="P50" s="366"/>
      <c r="Q50" s="366"/>
      <c r="R50" s="366"/>
      <c r="S50" s="366"/>
      <c r="T50" s="366"/>
    </row>
    <row r="51" spans="2:20">
      <c r="B51" s="370" t="s">
        <v>1158</v>
      </c>
      <c r="C51" s="366" t="s">
        <v>308</v>
      </c>
      <c r="D51" s="366" t="s">
        <v>1159</v>
      </c>
      <c r="E51" s="366" t="s">
        <v>1160</v>
      </c>
      <c r="F51" s="366" t="s">
        <v>1161</v>
      </c>
      <c r="G51" s="366" t="s">
        <v>1162</v>
      </c>
      <c r="H51" s="366"/>
      <c r="I51" s="366" t="s">
        <v>1163</v>
      </c>
      <c r="J51" s="366" t="s">
        <v>1164</v>
      </c>
      <c r="K51" s="366"/>
      <c r="L51" s="366" t="s">
        <v>1165</v>
      </c>
      <c r="M51" s="366" t="s">
        <v>1166</v>
      </c>
      <c r="N51" s="366" t="s">
        <v>1167</v>
      </c>
      <c r="O51" s="366"/>
      <c r="P51" s="366" t="s">
        <v>1168</v>
      </c>
      <c r="Q51" s="366" t="s">
        <v>1169</v>
      </c>
      <c r="R51" s="366" t="s">
        <v>1170</v>
      </c>
      <c r="S51" s="366" t="s">
        <v>1171</v>
      </c>
      <c r="T51" s="366"/>
    </row>
    <row r="52" spans="2:20">
      <c r="B52" s="370" t="s">
        <v>523</v>
      </c>
      <c r="C52" s="366" t="s">
        <v>67</v>
      </c>
      <c r="D52" s="366" t="s">
        <v>1172</v>
      </c>
      <c r="E52" s="366" t="s">
        <v>1173</v>
      </c>
      <c r="F52" s="366" t="s">
        <v>1174</v>
      </c>
      <c r="G52" s="366" t="s">
        <v>1175</v>
      </c>
      <c r="H52" s="366" t="s">
        <v>1176</v>
      </c>
      <c r="I52" s="366" t="s">
        <v>1177</v>
      </c>
      <c r="J52" s="366" t="s">
        <v>1178</v>
      </c>
      <c r="K52" s="366" t="s">
        <v>1179</v>
      </c>
      <c r="L52" s="366" t="s">
        <v>1180</v>
      </c>
      <c r="M52" s="366" t="s">
        <v>1181</v>
      </c>
      <c r="N52" s="366" t="s">
        <v>1182</v>
      </c>
      <c r="O52" s="366"/>
      <c r="P52" s="366" t="s">
        <v>1183</v>
      </c>
      <c r="Q52" s="366" t="s">
        <v>1184</v>
      </c>
      <c r="R52" s="366" t="s">
        <v>1185</v>
      </c>
      <c r="S52" s="366" t="s">
        <v>1186</v>
      </c>
      <c r="T52" s="366" t="s">
        <v>1187</v>
      </c>
    </row>
    <row r="53" spans="2:20">
      <c r="B53" s="370" t="s">
        <v>541</v>
      </c>
      <c r="C53" s="366" t="s">
        <v>121</v>
      </c>
      <c r="D53" s="366" t="s">
        <v>1188</v>
      </c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 t="s">
        <v>1189</v>
      </c>
      <c r="R53" s="366"/>
      <c r="S53" s="366"/>
      <c r="T53" s="366"/>
    </row>
    <row r="54" spans="2:20">
      <c r="B54" s="370" t="s">
        <v>1484</v>
      </c>
      <c r="C54" s="366" t="s">
        <v>1190</v>
      </c>
      <c r="D54" s="366" t="s">
        <v>1191</v>
      </c>
      <c r="E54" s="366" t="s">
        <v>1192</v>
      </c>
      <c r="F54" s="366" t="s">
        <v>1193</v>
      </c>
      <c r="G54" s="366" t="s">
        <v>1194</v>
      </c>
      <c r="H54" s="366"/>
      <c r="I54" s="366" t="s">
        <v>1195</v>
      </c>
      <c r="J54" s="366" t="s">
        <v>1196</v>
      </c>
      <c r="K54" s="366"/>
      <c r="L54" s="366" t="s">
        <v>1197</v>
      </c>
      <c r="M54" s="366" t="s">
        <v>1198</v>
      </c>
      <c r="N54" s="366" t="s">
        <v>1199</v>
      </c>
      <c r="O54" s="366"/>
      <c r="P54" s="366" t="s">
        <v>1200</v>
      </c>
      <c r="Q54" s="366" t="s">
        <v>1201</v>
      </c>
      <c r="R54" s="366"/>
      <c r="S54" s="366"/>
      <c r="T54" s="366"/>
    </row>
    <row r="55" spans="2:20">
      <c r="B55" s="370" t="s">
        <v>1485</v>
      </c>
      <c r="C55" s="366" t="s">
        <v>238</v>
      </c>
      <c r="D55" s="366" t="s">
        <v>1202</v>
      </c>
      <c r="E55" s="366"/>
      <c r="F55" s="366"/>
      <c r="G55" s="366"/>
      <c r="H55" s="366" t="s">
        <v>1203</v>
      </c>
      <c r="I55" s="366" t="s">
        <v>1204</v>
      </c>
      <c r="J55" s="366"/>
      <c r="K55" s="366"/>
      <c r="L55" s="366" t="s">
        <v>1205</v>
      </c>
      <c r="M55" s="366"/>
      <c r="N55" s="366"/>
      <c r="O55" s="366"/>
      <c r="P55" s="366"/>
      <c r="Q55" s="366" t="s">
        <v>1206</v>
      </c>
      <c r="R55" s="366"/>
      <c r="S55" s="366"/>
      <c r="T55" s="366"/>
    </row>
    <row r="56" spans="2:20">
      <c r="B56" s="370" t="s">
        <v>1486</v>
      </c>
      <c r="C56" s="366" t="s">
        <v>1207</v>
      </c>
      <c r="D56" s="366" t="s">
        <v>1208</v>
      </c>
      <c r="E56" s="366"/>
      <c r="F56" s="366"/>
      <c r="G56" s="366"/>
      <c r="H56" s="366"/>
      <c r="I56" s="366"/>
      <c r="J56" s="366"/>
      <c r="K56" s="366"/>
      <c r="L56" s="366"/>
      <c r="M56" s="366"/>
      <c r="N56" s="366"/>
      <c r="O56" s="366"/>
      <c r="P56" s="366"/>
      <c r="Q56" s="366"/>
      <c r="R56" s="366"/>
      <c r="S56" s="366"/>
      <c r="T56" s="366"/>
    </row>
    <row r="57" spans="2:20">
      <c r="B57" s="370" t="s">
        <v>1487</v>
      </c>
      <c r="C57" s="366" t="s">
        <v>125</v>
      </c>
      <c r="D57" s="366"/>
      <c r="E57" s="366"/>
      <c r="F57" s="366"/>
      <c r="G57" s="366"/>
      <c r="H57" s="366"/>
      <c r="I57" s="366" t="s">
        <v>1209</v>
      </c>
      <c r="J57" s="366"/>
      <c r="K57" s="366"/>
      <c r="L57" s="366"/>
      <c r="M57" s="366"/>
      <c r="N57" s="366"/>
      <c r="O57" s="366"/>
      <c r="P57" s="366" t="s">
        <v>1210</v>
      </c>
      <c r="Q57" s="366"/>
      <c r="R57" s="366"/>
      <c r="S57" s="366"/>
      <c r="T57" s="366"/>
    </row>
    <row r="58" spans="2:20">
      <c r="B58" s="370" t="s">
        <v>563</v>
      </c>
      <c r="C58" s="366" t="s">
        <v>101</v>
      </c>
      <c r="D58" s="366" t="s">
        <v>1211</v>
      </c>
      <c r="E58" s="366" t="s">
        <v>1212</v>
      </c>
      <c r="F58" s="366" t="s">
        <v>1213</v>
      </c>
      <c r="G58" s="366" t="s">
        <v>1214</v>
      </c>
      <c r="H58" s="366"/>
      <c r="I58" s="366" t="s">
        <v>1215</v>
      </c>
      <c r="J58" s="366" t="s">
        <v>1216</v>
      </c>
      <c r="K58" s="366"/>
      <c r="L58" s="366" t="s">
        <v>1217</v>
      </c>
      <c r="M58" s="366" t="s">
        <v>1218</v>
      </c>
      <c r="N58" s="366" t="s">
        <v>1219</v>
      </c>
      <c r="O58" s="366"/>
      <c r="P58" s="366" t="s">
        <v>1220</v>
      </c>
      <c r="Q58" s="366" t="s">
        <v>1221</v>
      </c>
      <c r="R58" s="366" t="s">
        <v>1222</v>
      </c>
      <c r="S58" s="366" t="s">
        <v>1223</v>
      </c>
      <c r="T58" s="366"/>
    </row>
    <row r="59" spans="2:20">
      <c r="B59" s="370" t="s">
        <v>1488</v>
      </c>
      <c r="C59" s="366" t="s">
        <v>1224</v>
      </c>
      <c r="D59" s="366" t="s">
        <v>1225</v>
      </c>
      <c r="E59" s="366"/>
      <c r="F59" s="366"/>
      <c r="G59" s="366"/>
      <c r="H59" s="366"/>
      <c r="I59" s="366"/>
      <c r="J59" s="366"/>
      <c r="K59" s="366"/>
      <c r="L59" s="366" t="s">
        <v>1226</v>
      </c>
      <c r="M59" s="366"/>
      <c r="N59" s="366"/>
      <c r="O59" s="366"/>
      <c r="P59" s="366"/>
      <c r="Q59" s="366" t="s">
        <v>1227</v>
      </c>
      <c r="R59" s="366"/>
      <c r="S59" s="366"/>
      <c r="T59" s="366"/>
    </row>
    <row r="60" spans="2:20">
      <c r="B60" s="370" t="s">
        <v>1489</v>
      </c>
      <c r="C60" s="366" t="s">
        <v>1228</v>
      </c>
      <c r="D60" s="366" t="s">
        <v>1229</v>
      </c>
      <c r="E60" s="366" t="s">
        <v>1230</v>
      </c>
      <c r="F60" s="366" t="s">
        <v>1231</v>
      </c>
      <c r="G60" s="366" t="s">
        <v>1232</v>
      </c>
      <c r="H60" s="366"/>
      <c r="I60" s="366" t="s">
        <v>1233</v>
      </c>
      <c r="J60" s="366" t="s">
        <v>1234</v>
      </c>
      <c r="K60" s="366"/>
      <c r="L60" s="366" t="s">
        <v>1235</v>
      </c>
      <c r="M60" s="366" t="s">
        <v>1236</v>
      </c>
      <c r="N60" s="366" t="s">
        <v>1237</v>
      </c>
      <c r="O60" s="366"/>
      <c r="P60" s="366" t="s">
        <v>1238</v>
      </c>
      <c r="Q60" s="366" t="s">
        <v>1239</v>
      </c>
      <c r="R60" s="366" t="s">
        <v>1240</v>
      </c>
      <c r="S60" s="366" t="s">
        <v>1241</v>
      </c>
      <c r="T60" s="366"/>
    </row>
    <row r="61" spans="2:20">
      <c r="B61" s="370" t="s">
        <v>170</v>
      </c>
      <c r="C61" s="366" t="s">
        <v>56</v>
      </c>
      <c r="D61" s="366" t="s">
        <v>1242</v>
      </c>
      <c r="E61" s="366" t="s">
        <v>1243</v>
      </c>
      <c r="F61" s="366" t="s">
        <v>1244</v>
      </c>
      <c r="G61" s="366" t="s">
        <v>1245</v>
      </c>
      <c r="H61" s="366"/>
      <c r="I61" s="366" t="s">
        <v>1246</v>
      </c>
      <c r="J61" s="366" t="s">
        <v>1247</v>
      </c>
      <c r="K61" s="366"/>
      <c r="L61" s="366" t="s">
        <v>1248</v>
      </c>
      <c r="M61" s="366" t="s">
        <v>1249</v>
      </c>
      <c r="N61" s="366" t="s">
        <v>1250</v>
      </c>
      <c r="O61" s="366" t="s">
        <v>1251</v>
      </c>
      <c r="P61" s="366" t="s">
        <v>1252</v>
      </c>
      <c r="Q61" s="366" t="s">
        <v>1253</v>
      </c>
      <c r="R61" s="366" t="s">
        <v>1254</v>
      </c>
      <c r="S61" s="366" t="s">
        <v>1255</v>
      </c>
      <c r="T61" s="366"/>
    </row>
    <row r="62" spans="2:20">
      <c r="B62" s="370" t="s">
        <v>1256</v>
      </c>
      <c r="C62" s="366" t="s">
        <v>1257</v>
      </c>
      <c r="D62" s="366"/>
      <c r="E62" s="366" t="s">
        <v>1258</v>
      </c>
      <c r="F62" s="366" t="s">
        <v>1259</v>
      </c>
      <c r="G62" s="366" t="s">
        <v>1260</v>
      </c>
      <c r="H62" s="366"/>
      <c r="I62" s="366" t="s">
        <v>1261</v>
      </c>
      <c r="J62" s="366" t="s">
        <v>1262</v>
      </c>
      <c r="K62" s="366"/>
      <c r="L62" s="366" t="s">
        <v>1263</v>
      </c>
      <c r="M62" s="366" t="s">
        <v>1264</v>
      </c>
      <c r="N62" s="366" t="s">
        <v>1265</v>
      </c>
      <c r="O62" s="366"/>
      <c r="P62" s="366" t="s">
        <v>1266</v>
      </c>
      <c r="Q62" s="366"/>
      <c r="R62" s="366" t="s">
        <v>1267</v>
      </c>
      <c r="S62" s="366"/>
      <c r="T62" s="366"/>
    </row>
    <row r="63" spans="2:20">
      <c r="B63" s="370" t="s">
        <v>159</v>
      </c>
      <c r="C63" s="366" t="s">
        <v>160</v>
      </c>
      <c r="D63" s="366" t="s">
        <v>1268</v>
      </c>
      <c r="E63" s="366" t="s">
        <v>1269</v>
      </c>
      <c r="F63" s="366" t="s">
        <v>1270</v>
      </c>
      <c r="G63" s="366" t="s">
        <v>1271</v>
      </c>
      <c r="H63" s="366"/>
      <c r="I63" s="366" t="s">
        <v>1272</v>
      </c>
      <c r="J63" s="366" t="s">
        <v>1273</v>
      </c>
      <c r="K63" s="366"/>
      <c r="L63" s="366" t="s">
        <v>1274</v>
      </c>
      <c r="M63" s="366" t="s">
        <v>1275</v>
      </c>
      <c r="N63" s="366" t="s">
        <v>1276</v>
      </c>
      <c r="O63" s="366" t="s">
        <v>1277</v>
      </c>
      <c r="P63" s="366" t="s">
        <v>1278</v>
      </c>
      <c r="Q63" s="366" t="s">
        <v>1279</v>
      </c>
      <c r="R63" s="366" t="s">
        <v>1280</v>
      </c>
      <c r="S63" s="366" t="s">
        <v>1281</v>
      </c>
      <c r="T63" s="366"/>
    </row>
    <row r="64" spans="2:20">
      <c r="B64" s="370" t="s">
        <v>1282</v>
      </c>
      <c r="C64" s="366" t="s">
        <v>1283</v>
      </c>
      <c r="D64" s="366" t="s">
        <v>1284</v>
      </c>
      <c r="E64" s="366" t="s">
        <v>1285</v>
      </c>
      <c r="F64" s="366" t="s">
        <v>1286</v>
      </c>
      <c r="G64" s="366" t="s">
        <v>1287</v>
      </c>
      <c r="H64" s="366"/>
      <c r="I64" s="366" t="s">
        <v>1288</v>
      </c>
      <c r="J64" s="366" t="s">
        <v>1289</v>
      </c>
      <c r="K64" s="366"/>
      <c r="L64" s="366" t="s">
        <v>1290</v>
      </c>
      <c r="M64" s="366" t="s">
        <v>1291</v>
      </c>
      <c r="N64" s="366" t="s">
        <v>1292</v>
      </c>
      <c r="O64" s="366"/>
      <c r="P64" s="366" t="s">
        <v>1293</v>
      </c>
      <c r="Q64" s="366" t="s">
        <v>1294</v>
      </c>
      <c r="R64" s="366" t="s">
        <v>1295</v>
      </c>
      <c r="S64" s="366"/>
      <c r="T64" s="366"/>
    </row>
    <row r="65" spans="2:20">
      <c r="B65" s="370" t="s">
        <v>215</v>
      </c>
      <c r="C65" s="366" t="s">
        <v>217</v>
      </c>
      <c r="D65" s="366" t="s">
        <v>1296</v>
      </c>
      <c r="E65" s="366" t="s">
        <v>1297</v>
      </c>
      <c r="F65" s="366" t="s">
        <v>1298</v>
      </c>
      <c r="G65" s="366" t="s">
        <v>1299</v>
      </c>
      <c r="H65" s="366" t="s">
        <v>1300</v>
      </c>
      <c r="I65" s="366" t="s">
        <v>1301</v>
      </c>
      <c r="J65" s="366" t="s">
        <v>1302</v>
      </c>
      <c r="K65" s="366" t="s">
        <v>1303</v>
      </c>
      <c r="L65" s="366" t="s">
        <v>1304</v>
      </c>
      <c r="M65" s="366" t="s">
        <v>1305</v>
      </c>
      <c r="N65" s="366" t="s">
        <v>1306</v>
      </c>
      <c r="O65" s="366" t="s">
        <v>1307</v>
      </c>
      <c r="P65" s="366" t="s">
        <v>1308</v>
      </c>
      <c r="Q65" s="366" t="s">
        <v>1309</v>
      </c>
      <c r="R65" s="366" t="s">
        <v>1310</v>
      </c>
      <c r="S65" s="366" t="s">
        <v>1311</v>
      </c>
      <c r="T65" s="366"/>
    </row>
    <row r="66" spans="2:20">
      <c r="B66" s="370" t="s">
        <v>1312</v>
      </c>
      <c r="C66" s="366" t="s">
        <v>187</v>
      </c>
      <c r="D66" s="366" t="s">
        <v>1313</v>
      </c>
      <c r="E66" s="366" t="s">
        <v>1314</v>
      </c>
      <c r="F66" s="366" t="s">
        <v>1315</v>
      </c>
      <c r="G66" s="366"/>
      <c r="H66" s="366"/>
      <c r="I66" s="366" t="s">
        <v>1316</v>
      </c>
      <c r="J66" s="366" t="s">
        <v>1317</v>
      </c>
      <c r="K66" s="366"/>
      <c r="L66" s="366"/>
      <c r="M66" s="366" t="s">
        <v>1318</v>
      </c>
      <c r="N66" s="366" t="s">
        <v>1319</v>
      </c>
      <c r="O66" s="366"/>
      <c r="P66" s="366" t="s">
        <v>1320</v>
      </c>
      <c r="Q66" s="366" t="s">
        <v>1321</v>
      </c>
      <c r="R66" s="366" t="s">
        <v>1322</v>
      </c>
      <c r="S66" s="366"/>
      <c r="T66" s="366"/>
    </row>
    <row r="67" spans="2:20">
      <c r="B67" s="370" t="s">
        <v>1323</v>
      </c>
      <c r="C67" s="366" t="s">
        <v>216</v>
      </c>
      <c r="D67" s="366" t="s">
        <v>1324</v>
      </c>
      <c r="E67" s="366" t="s">
        <v>1325</v>
      </c>
      <c r="F67" s="366" t="s">
        <v>1326</v>
      </c>
      <c r="G67" s="366" t="s">
        <v>1327</v>
      </c>
      <c r="H67" s="366"/>
      <c r="I67" s="366" t="s">
        <v>1328</v>
      </c>
      <c r="J67" s="366" t="s">
        <v>1329</v>
      </c>
      <c r="K67" s="366"/>
      <c r="L67" s="366" t="s">
        <v>1330</v>
      </c>
      <c r="M67" s="366" t="s">
        <v>1331</v>
      </c>
      <c r="N67" s="366" t="s">
        <v>1332</v>
      </c>
      <c r="O67" s="366" t="s">
        <v>1333</v>
      </c>
      <c r="P67" s="366" t="s">
        <v>1334</v>
      </c>
      <c r="Q67" s="366" t="s">
        <v>1335</v>
      </c>
      <c r="R67" s="366" t="s">
        <v>1336</v>
      </c>
      <c r="S67" s="366"/>
      <c r="T67" s="366"/>
    </row>
    <row r="68" spans="2:20">
      <c r="B68" s="370" t="s">
        <v>152</v>
      </c>
      <c r="C68" s="366" t="s">
        <v>153</v>
      </c>
      <c r="D68" s="366" t="s">
        <v>1337</v>
      </c>
      <c r="E68" s="366" t="s">
        <v>1338</v>
      </c>
      <c r="F68" s="366" t="s">
        <v>1339</v>
      </c>
      <c r="G68" s="366" t="s">
        <v>1340</v>
      </c>
      <c r="H68" s="366"/>
      <c r="I68" s="366" t="s">
        <v>1341</v>
      </c>
      <c r="J68" s="366" t="s">
        <v>1342</v>
      </c>
      <c r="K68" s="366"/>
      <c r="L68" s="366" t="s">
        <v>1343</v>
      </c>
      <c r="M68" s="366" t="s">
        <v>1344</v>
      </c>
      <c r="N68" s="366" t="s">
        <v>1345</v>
      </c>
      <c r="O68" s="366"/>
      <c r="P68" s="366" t="s">
        <v>1346</v>
      </c>
      <c r="Q68" s="366" t="s">
        <v>1347</v>
      </c>
      <c r="R68" s="366" t="s">
        <v>1348</v>
      </c>
      <c r="S68" s="366" t="s">
        <v>1349</v>
      </c>
      <c r="T68" s="366"/>
    </row>
    <row r="69" spans="2:20">
      <c r="B69" s="370" t="s">
        <v>1490</v>
      </c>
      <c r="C69" s="366" t="s">
        <v>145</v>
      </c>
      <c r="D69" s="366" t="s">
        <v>1350</v>
      </c>
      <c r="E69" s="366"/>
      <c r="F69" s="366"/>
      <c r="G69" s="366"/>
      <c r="H69" s="366"/>
      <c r="I69" s="366"/>
      <c r="J69" s="366"/>
      <c r="K69" s="366"/>
      <c r="L69" s="366"/>
      <c r="M69" s="366"/>
      <c r="N69" s="366" t="s">
        <v>1351</v>
      </c>
      <c r="O69" s="366"/>
      <c r="P69" s="366"/>
      <c r="Q69" s="366"/>
      <c r="R69" s="366"/>
      <c r="S69" s="366"/>
      <c r="T69" s="366"/>
    </row>
    <row r="70" spans="2:20">
      <c r="B70" s="370" t="s">
        <v>1352</v>
      </c>
      <c r="C70" s="366" t="s">
        <v>1353</v>
      </c>
      <c r="D70" s="366" t="s">
        <v>1354</v>
      </c>
      <c r="E70" s="366" t="s">
        <v>1355</v>
      </c>
      <c r="F70" s="366" t="s">
        <v>1356</v>
      </c>
      <c r="G70" s="366" t="s">
        <v>1357</v>
      </c>
      <c r="H70" s="366"/>
      <c r="I70" s="366" t="s">
        <v>1358</v>
      </c>
      <c r="J70" s="366" t="s">
        <v>1359</v>
      </c>
      <c r="K70" s="366"/>
      <c r="L70" s="366" t="s">
        <v>1360</v>
      </c>
      <c r="M70" s="366" t="s">
        <v>1361</v>
      </c>
      <c r="N70" s="366"/>
      <c r="O70" s="366"/>
      <c r="P70" s="366" t="s">
        <v>1362</v>
      </c>
      <c r="Q70" s="366" t="s">
        <v>1363</v>
      </c>
      <c r="R70" s="366" t="s">
        <v>1364</v>
      </c>
      <c r="S70" s="366" t="s">
        <v>1365</v>
      </c>
      <c r="T70" s="366"/>
    </row>
    <row r="71" spans="2:20">
      <c r="B71" s="370" t="s">
        <v>211</v>
      </c>
      <c r="C71" s="366" t="s">
        <v>213</v>
      </c>
      <c r="D71" s="366" t="s">
        <v>1366</v>
      </c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 t="s">
        <v>1367</v>
      </c>
      <c r="Q71" s="366" t="s">
        <v>1368</v>
      </c>
      <c r="R71" s="366" t="s">
        <v>1369</v>
      </c>
      <c r="S71" s="366"/>
      <c r="T71" s="366"/>
    </row>
    <row r="72" spans="2:20">
      <c r="B72" s="370" t="s">
        <v>1370</v>
      </c>
      <c r="C72" s="366" t="s">
        <v>184</v>
      </c>
      <c r="D72" s="366" t="s">
        <v>1371</v>
      </c>
      <c r="E72" s="366"/>
      <c r="F72" s="366"/>
      <c r="G72" s="366"/>
      <c r="H72" s="366"/>
      <c r="I72" s="366"/>
      <c r="J72" s="366"/>
      <c r="K72" s="366"/>
      <c r="L72" s="366"/>
      <c r="M72" s="366" t="s">
        <v>1372</v>
      </c>
      <c r="N72" s="366"/>
      <c r="O72" s="366"/>
      <c r="P72" s="366" t="s">
        <v>1373</v>
      </c>
      <c r="Q72" s="366" t="s">
        <v>1374</v>
      </c>
      <c r="R72" s="366"/>
      <c r="S72" s="366"/>
      <c r="T72" s="366"/>
    </row>
    <row r="73" spans="2:20">
      <c r="B73" s="370" t="s">
        <v>1375</v>
      </c>
      <c r="C73" s="366" t="s">
        <v>212</v>
      </c>
      <c r="D73" s="366"/>
      <c r="E73" s="366"/>
      <c r="F73" s="366"/>
      <c r="G73" s="366" t="s">
        <v>1376</v>
      </c>
      <c r="H73" s="366"/>
      <c r="I73" s="366"/>
      <c r="J73" s="366"/>
      <c r="K73" s="366"/>
      <c r="L73" s="366" t="s">
        <v>1377</v>
      </c>
      <c r="M73" s="366"/>
      <c r="N73" s="366" t="s">
        <v>1378</v>
      </c>
      <c r="O73" s="366"/>
      <c r="P73" s="366"/>
      <c r="Q73" s="366" t="s">
        <v>1379</v>
      </c>
      <c r="R73" s="366"/>
      <c r="S73" s="366"/>
      <c r="T73" s="366"/>
    </row>
    <row r="74" spans="2:20">
      <c r="B74" s="370" t="s">
        <v>1380</v>
      </c>
      <c r="C74" s="366" t="s">
        <v>183</v>
      </c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 t="s">
        <v>1381</v>
      </c>
      <c r="R74" s="366"/>
      <c r="S74" s="366"/>
      <c r="T74" s="366"/>
    </row>
    <row r="75" spans="2:20">
      <c r="B75" s="370" t="s">
        <v>214</v>
      </c>
      <c r="C75" s="366" t="s">
        <v>494</v>
      </c>
      <c r="D75" s="366" t="s">
        <v>1382</v>
      </c>
      <c r="E75" s="366" t="s">
        <v>1383</v>
      </c>
      <c r="F75" s="366" t="s">
        <v>1384</v>
      </c>
      <c r="G75" s="366" t="s">
        <v>1385</v>
      </c>
      <c r="H75" s="366" t="s">
        <v>1386</v>
      </c>
      <c r="I75" s="366" t="s">
        <v>1387</v>
      </c>
      <c r="J75" s="366" t="s">
        <v>1388</v>
      </c>
      <c r="K75" s="366"/>
      <c r="L75" s="366" t="s">
        <v>1389</v>
      </c>
      <c r="M75" s="366" t="s">
        <v>1390</v>
      </c>
      <c r="N75" s="366" t="s">
        <v>1391</v>
      </c>
      <c r="O75" s="366" t="s">
        <v>1392</v>
      </c>
      <c r="P75" s="366" t="s">
        <v>1393</v>
      </c>
      <c r="Q75" s="366" t="s">
        <v>1394</v>
      </c>
      <c r="R75" s="366" t="s">
        <v>1395</v>
      </c>
      <c r="S75" s="366" t="s">
        <v>1396</v>
      </c>
      <c r="T75" s="366"/>
    </row>
    <row r="76" spans="2:20">
      <c r="B76" s="370" t="s">
        <v>1397</v>
      </c>
      <c r="C76" s="366" t="s">
        <v>1398</v>
      </c>
      <c r="D76" s="366" t="s">
        <v>1399</v>
      </c>
      <c r="E76" s="366" t="s">
        <v>1400</v>
      </c>
      <c r="F76" s="366" t="s">
        <v>1401</v>
      </c>
      <c r="G76" s="366" t="s">
        <v>1402</v>
      </c>
      <c r="H76" s="366"/>
      <c r="I76" s="366"/>
      <c r="J76" s="366" t="s">
        <v>1403</v>
      </c>
      <c r="K76" s="366"/>
      <c r="L76" s="366" t="s">
        <v>1404</v>
      </c>
      <c r="M76" s="366" t="s">
        <v>1405</v>
      </c>
      <c r="N76" s="366" t="s">
        <v>1406</v>
      </c>
      <c r="O76" s="366"/>
      <c r="P76" s="366" t="s">
        <v>1407</v>
      </c>
      <c r="Q76" s="366" t="s">
        <v>1408</v>
      </c>
      <c r="R76" s="366" t="s">
        <v>1409</v>
      </c>
      <c r="S76" s="366" t="s">
        <v>1410</v>
      </c>
      <c r="T76" s="366" t="s">
        <v>1411</v>
      </c>
    </row>
    <row r="77" spans="2:20">
      <c r="B77" s="370" t="s">
        <v>218</v>
      </c>
      <c r="C77" s="366" t="s">
        <v>220</v>
      </c>
      <c r="D77" s="366" t="s">
        <v>1412</v>
      </c>
      <c r="E77" s="366" t="s">
        <v>1413</v>
      </c>
      <c r="F77" s="366" t="s">
        <v>1414</v>
      </c>
      <c r="G77" s="366" t="s">
        <v>1415</v>
      </c>
      <c r="H77" s="366" t="s">
        <v>1416</v>
      </c>
      <c r="I77" s="366" t="s">
        <v>1417</v>
      </c>
      <c r="J77" s="366" t="s">
        <v>1418</v>
      </c>
      <c r="K77" s="366"/>
      <c r="L77" s="366" t="s">
        <v>1419</v>
      </c>
      <c r="M77" s="366" t="s">
        <v>1420</v>
      </c>
      <c r="N77" s="366" t="s">
        <v>1421</v>
      </c>
      <c r="O77" s="366"/>
      <c r="P77" s="366" t="s">
        <v>1422</v>
      </c>
      <c r="Q77" s="366" t="s">
        <v>1423</v>
      </c>
      <c r="R77" s="366" t="s">
        <v>1424</v>
      </c>
      <c r="S77" s="366" t="s">
        <v>1425</v>
      </c>
      <c r="T77" s="366"/>
    </row>
    <row r="78" spans="2:20">
      <c r="B78" s="370" t="s">
        <v>1426</v>
      </c>
      <c r="C78" s="366" t="s">
        <v>190</v>
      </c>
      <c r="D78" s="366" t="s">
        <v>1427</v>
      </c>
      <c r="E78" s="366" t="s">
        <v>1428</v>
      </c>
      <c r="F78" s="366"/>
      <c r="G78" s="366"/>
      <c r="H78" s="366"/>
      <c r="I78" s="366"/>
      <c r="J78" s="366"/>
      <c r="K78" s="366"/>
      <c r="L78" s="366"/>
      <c r="M78" s="366" t="s">
        <v>1429</v>
      </c>
      <c r="N78" s="366" t="s">
        <v>1430</v>
      </c>
      <c r="O78" s="366"/>
      <c r="P78" s="366" t="s">
        <v>1431</v>
      </c>
      <c r="Q78" s="366" t="s">
        <v>1432</v>
      </c>
      <c r="R78" s="366"/>
      <c r="S78" s="366"/>
      <c r="T78" s="366"/>
    </row>
    <row r="79" spans="2:20">
      <c r="B79" s="370" t="s">
        <v>1433</v>
      </c>
      <c r="C79" s="366" t="s">
        <v>219</v>
      </c>
      <c r="D79" s="366" t="s">
        <v>1434</v>
      </c>
      <c r="E79" s="366"/>
      <c r="F79" s="366"/>
      <c r="G79" s="366"/>
      <c r="H79" s="366"/>
      <c r="I79" s="366"/>
      <c r="J79" s="366"/>
      <c r="K79" s="366"/>
      <c r="L79" s="366"/>
      <c r="M79" s="366"/>
      <c r="N79" s="366"/>
      <c r="O79" s="366"/>
      <c r="P79" s="366"/>
      <c r="Q79" s="366" t="s">
        <v>1435</v>
      </c>
      <c r="R79" s="366"/>
      <c r="S79" s="366"/>
      <c r="T79" s="366"/>
    </row>
    <row r="80" spans="2:20">
      <c r="B80" s="370" t="s">
        <v>491</v>
      </c>
      <c r="C80" s="366" t="s">
        <v>144</v>
      </c>
      <c r="D80" s="366" t="s">
        <v>1436</v>
      </c>
      <c r="E80" s="366"/>
      <c r="F80" s="366"/>
      <c r="G80" s="366"/>
      <c r="H80" s="366"/>
      <c r="I80" s="366"/>
      <c r="J80" s="366"/>
      <c r="K80" s="366"/>
      <c r="L80" s="366"/>
      <c r="M80" s="366"/>
      <c r="N80" s="366"/>
      <c r="O80" s="366"/>
      <c r="P80" s="366"/>
      <c r="Q80" s="366"/>
      <c r="R80" s="366"/>
      <c r="S80" s="366"/>
      <c r="T80" s="366"/>
    </row>
    <row r="81" spans="2:20">
      <c r="B81" s="370" t="s">
        <v>1437</v>
      </c>
      <c r="C81" s="366" t="s">
        <v>1438</v>
      </c>
      <c r="D81" s="366" t="s">
        <v>1439</v>
      </c>
      <c r="E81" s="366"/>
      <c r="F81" s="366"/>
      <c r="G81" s="366"/>
      <c r="H81" s="366"/>
      <c r="I81" s="366"/>
      <c r="J81" s="366"/>
      <c r="K81" s="366"/>
      <c r="L81" s="366"/>
      <c r="M81" s="366"/>
      <c r="N81" s="366"/>
      <c r="O81" s="366"/>
      <c r="P81" s="366"/>
      <c r="Q81" s="366"/>
      <c r="R81" s="366"/>
      <c r="S81" s="366"/>
      <c r="T81" s="366"/>
    </row>
    <row r="82" spans="2:20">
      <c r="B82" s="370" t="s">
        <v>569</v>
      </c>
      <c r="C82" s="366" t="s">
        <v>74</v>
      </c>
      <c r="D82" s="366" t="s">
        <v>1440</v>
      </c>
      <c r="E82" s="366" t="s">
        <v>1441</v>
      </c>
      <c r="F82" s="366"/>
      <c r="G82" s="366"/>
      <c r="H82" s="366" t="s">
        <v>1442</v>
      </c>
      <c r="I82" s="366" t="s">
        <v>1443</v>
      </c>
      <c r="J82" s="366" t="s">
        <v>1444</v>
      </c>
      <c r="K82" s="366" t="s">
        <v>1445</v>
      </c>
      <c r="L82" s="366"/>
      <c r="M82" s="366" t="s">
        <v>1446</v>
      </c>
      <c r="N82" s="366" t="s">
        <v>1447</v>
      </c>
      <c r="O82" s="366"/>
      <c r="P82" s="366" t="s">
        <v>1448</v>
      </c>
      <c r="Q82" s="366" t="s">
        <v>1449</v>
      </c>
      <c r="R82" s="366" t="s">
        <v>1450</v>
      </c>
      <c r="S82" s="366"/>
      <c r="T82" s="366"/>
    </row>
    <row r="83" spans="2:20">
      <c r="B83" s="370" t="s">
        <v>1491</v>
      </c>
      <c r="C83" s="366" t="s">
        <v>1451</v>
      </c>
      <c r="D83" s="366" t="s">
        <v>1452</v>
      </c>
      <c r="E83" s="366"/>
      <c r="F83" s="366" t="s">
        <v>1453</v>
      </c>
      <c r="G83" s="366"/>
      <c r="H83" s="366" t="s">
        <v>1454</v>
      </c>
      <c r="I83" s="366"/>
      <c r="J83" s="366"/>
      <c r="K83" s="366"/>
      <c r="L83" s="366"/>
      <c r="M83" s="366"/>
      <c r="N83" s="366" t="s">
        <v>1455</v>
      </c>
      <c r="O83" s="366"/>
      <c r="P83" s="366" t="s">
        <v>1456</v>
      </c>
      <c r="Q83" s="366"/>
      <c r="R83" s="366" t="s">
        <v>1457</v>
      </c>
      <c r="S83" s="366"/>
      <c r="T83" s="366"/>
    </row>
    <row r="85" spans="2:20" ht="27.75">
      <c r="B85" s="368" t="s">
        <v>1460</v>
      </c>
    </row>
    <row r="87" spans="2:20" ht="28.5">
      <c r="B87" s="371" t="s">
        <v>1458</v>
      </c>
      <c r="C87" s="372"/>
      <c r="D87" s="372"/>
      <c r="E87" s="372"/>
      <c r="F87" s="372"/>
      <c r="G87" s="372"/>
      <c r="H87" s="372"/>
      <c r="I87" s="372"/>
      <c r="J87" s="372"/>
      <c r="K87" s="372"/>
      <c r="L87" s="372"/>
      <c r="M87" s="372"/>
      <c r="N87" s="372"/>
      <c r="O87" s="372"/>
      <c r="P87" s="372"/>
      <c r="Q87" s="372"/>
      <c r="R87" s="372"/>
      <c r="S87" s="372"/>
      <c r="T87" s="372"/>
    </row>
    <row r="88" spans="2:20" ht="28.5">
      <c r="B88" s="371" t="s">
        <v>1459</v>
      </c>
      <c r="C88" s="372"/>
      <c r="D88" s="372"/>
      <c r="E88" s="372"/>
      <c r="F88" s="372"/>
      <c r="G88" s="372"/>
      <c r="H88" s="372"/>
      <c r="I88" s="372"/>
      <c r="J88" s="372"/>
      <c r="K88" s="372"/>
      <c r="L88" s="372"/>
      <c r="M88" s="372"/>
      <c r="N88" s="372"/>
      <c r="O88" s="372"/>
      <c r="P88" s="372"/>
      <c r="Q88" s="372"/>
      <c r="R88" s="372"/>
      <c r="S88" s="372"/>
      <c r="T88" s="372"/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>
      <selection activeCell="K15" sqref="K15"/>
    </sheetView>
  </sheetViews>
  <sheetFormatPr defaultRowHeight="27.75"/>
  <cols>
    <col min="1" max="1" width="8.796875" style="244"/>
    <col min="2" max="8" width="18.296875" style="244" customWidth="1"/>
    <col min="9" max="16384" width="8.796875" style="244"/>
  </cols>
  <sheetData>
    <row r="1" spans="2:8">
      <c r="B1" s="244" t="s">
        <v>453</v>
      </c>
    </row>
    <row r="3" spans="2:8">
      <c r="B3" s="248" t="s">
        <v>487</v>
      </c>
      <c r="C3" s="249" t="s">
        <v>454</v>
      </c>
      <c r="D3" s="249" t="s">
        <v>455</v>
      </c>
      <c r="E3" s="249" t="s">
        <v>456</v>
      </c>
      <c r="F3" s="249" t="s">
        <v>457</v>
      </c>
      <c r="G3" s="249" t="s">
        <v>458</v>
      </c>
      <c r="H3" s="250" t="s">
        <v>459</v>
      </c>
    </row>
    <row r="4" spans="2:8">
      <c r="B4" s="245" t="s">
        <v>460</v>
      </c>
      <c r="C4" s="255" t="s">
        <v>461</v>
      </c>
      <c r="D4" s="255" t="s">
        <v>462</v>
      </c>
      <c r="E4" s="255" t="s">
        <v>463</v>
      </c>
      <c r="F4" s="255" t="s">
        <v>464</v>
      </c>
      <c r="G4" s="255"/>
      <c r="H4" s="256"/>
    </row>
    <row r="5" spans="2:8">
      <c r="B5" s="245" t="s">
        <v>465</v>
      </c>
      <c r="C5" s="255" t="s">
        <v>466</v>
      </c>
      <c r="D5" s="255" t="s">
        <v>467</v>
      </c>
      <c r="E5" s="255"/>
      <c r="F5" s="255" t="s">
        <v>468</v>
      </c>
      <c r="G5" s="255"/>
      <c r="H5" s="256" t="s">
        <v>469</v>
      </c>
    </row>
    <row r="6" spans="2:8">
      <c r="B6" s="245" t="s">
        <v>470</v>
      </c>
      <c r="C6" s="255" t="s">
        <v>471</v>
      </c>
      <c r="D6" s="255" t="s">
        <v>472</v>
      </c>
      <c r="E6" s="255" t="s">
        <v>473</v>
      </c>
      <c r="F6" s="255"/>
      <c r="G6" s="255" t="s">
        <v>474</v>
      </c>
      <c r="H6" s="256"/>
    </row>
    <row r="7" spans="2:8">
      <c r="B7" s="245" t="s">
        <v>475</v>
      </c>
      <c r="C7" s="255" t="s">
        <v>476</v>
      </c>
      <c r="D7" s="255" t="s">
        <v>477</v>
      </c>
      <c r="E7" s="255" t="s">
        <v>478</v>
      </c>
      <c r="F7" s="255"/>
      <c r="G7" s="255" t="s">
        <v>479</v>
      </c>
      <c r="H7" s="256"/>
    </row>
    <row r="8" spans="2:8">
      <c r="B8" s="245" t="s">
        <v>480</v>
      </c>
      <c r="C8" s="255" t="s">
        <v>481</v>
      </c>
      <c r="D8" s="255" t="s">
        <v>482</v>
      </c>
      <c r="E8" s="255" t="s">
        <v>483</v>
      </c>
      <c r="F8" s="255" t="s">
        <v>484</v>
      </c>
      <c r="G8" s="255"/>
      <c r="H8" s="256"/>
    </row>
    <row r="9" spans="2:8">
      <c r="B9" s="247" t="s">
        <v>485</v>
      </c>
      <c r="C9" s="257"/>
      <c r="D9" s="257"/>
      <c r="E9" s="257"/>
      <c r="F9" s="257"/>
      <c r="G9" s="257" t="s">
        <v>486</v>
      </c>
      <c r="H9" s="258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topLeftCell="E1" workbookViewId="0">
      <selection activeCell="K12" sqref="K12"/>
    </sheetView>
  </sheetViews>
  <sheetFormatPr defaultRowHeight="27.75"/>
  <cols>
    <col min="1" max="1" width="2.19921875" style="244" customWidth="1"/>
    <col min="2" max="2" width="9.09765625" style="244" customWidth="1"/>
    <col min="3" max="21" width="9.19921875" style="244" customWidth="1"/>
    <col min="22" max="16384" width="8.796875" style="244"/>
  </cols>
  <sheetData>
    <row r="1" spans="2:21">
      <c r="B1" s="244" t="s">
        <v>488</v>
      </c>
    </row>
    <row r="3" spans="2:21" ht="30">
      <c r="B3" s="246" t="s">
        <v>489</v>
      </c>
      <c r="C3" s="316" t="s">
        <v>247</v>
      </c>
      <c r="D3" s="316" t="s">
        <v>552</v>
      </c>
      <c r="E3" s="316" t="s">
        <v>553</v>
      </c>
      <c r="F3" s="316" t="s">
        <v>234</v>
      </c>
      <c r="G3" s="316" t="s">
        <v>207</v>
      </c>
      <c r="H3" s="316" t="s">
        <v>554</v>
      </c>
      <c r="I3" s="318" t="s">
        <v>557</v>
      </c>
      <c r="J3" s="316" t="s">
        <v>555</v>
      </c>
      <c r="K3" s="316" t="s">
        <v>499</v>
      </c>
      <c r="L3" s="316" t="s">
        <v>229</v>
      </c>
      <c r="M3" s="316" t="s">
        <v>490</v>
      </c>
      <c r="N3" s="316" t="s">
        <v>500</v>
      </c>
      <c r="O3" s="316" t="s">
        <v>170</v>
      </c>
      <c r="P3" s="316" t="s">
        <v>215</v>
      </c>
      <c r="Q3" s="316" t="s">
        <v>501</v>
      </c>
      <c r="R3" s="316" t="s">
        <v>214</v>
      </c>
      <c r="S3" s="316" t="s">
        <v>218</v>
      </c>
      <c r="T3" s="316" t="s">
        <v>491</v>
      </c>
      <c r="U3" s="317" t="s">
        <v>556</v>
      </c>
    </row>
    <row r="4" spans="2:21">
      <c r="B4" s="245" t="s">
        <v>492</v>
      </c>
      <c r="C4" s="251" t="s">
        <v>58</v>
      </c>
      <c r="D4" s="251" t="s">
        <v>189</v>
      </c>
      <c r="E4" s="251" t="s">
        <v>72</v>
      </c>
      <c r="F4" s="251" t="s">
        <v>61</v>
      </c>
      <c r="G4" s="251" t="s">
        <v>54</v>
      </c>
      <c r="H4" s="251" t="s">
        <v>228</v>
      </c>
      <c r="I4" s="251" t="s">
        <v>222</v>
      </c>
      <c r="J4" s="251" t="s">
        <v>225</v>
      </c>
      <c r="K4" s="251" t="s">
        <v>493</v>
      </c>
      <c r="L4" s="251" t="s">
        <v>230</v>
      </c>
      <c r="M4" s="251" t="s">
        <v>308</v>
      </c>
      <c r="N4" s="251" t="s">
        <v>67</v>
      </c>
      <c r="O4" s="251" t="s">
        <v>56</v>
      </c>
      <c r="P4" s="251" t="s">
        <v>217</v>
      </c>
      <c r="Q4" s="251" t="s">
        <v>213</v>
      </c>
      <c r="R4" s="251" t="s">
        <v>494</v>
      </c>
      <c r="S4" s="251" t="s">
        <v>220</v>
      </c>
      <c r="T4" s="251" t="s">
        <v>144</v>
      </c>
      <c r="U4" s="252" t="s">
        <v>74</v>
      </c>
    </row>
    <row r="5" spans="2:21">
      <c r="B5" s="245" t="s">
        <v>495</v>
      </c>
      <c r="C5" s="251" t="s">
        <v>115</v>
      </c>
      <c r="D5" s="251" t="s">
        <v>117</v>
      </c>
      <c r="E5" s="251"/>
      <c r="F5" s="251" t="s">
        <v>119</v>
      </c>
      <c r="G5" s="251" t="s">
        <v>111</v>
      </c>
      <c r="H5" s="251" t="s">
        <v>196</v>
      </c>
      <c r="I5" s="251" t="s">
        <v>191</v>
      </c>
      <c r="J5" s="251"/>
      <c r="K5" s="251" t="s">
        <v>193</v>
      </c>
      <c r="L5" s="251" t="s">
        <v>198</v>
      </c>
      <c r="M5" s="251"/>
      <c r="N5" s="251" t="s">
        <v>121</v>
      </c>
      <c r="O5" s="251"/>
      <c r="P5" s="251" t="s">
        <v>187</v>
      </c>
      <c r="Q5" s="251" t="s">
        <v>184</v>
      </c>
      <c r="R5" s="251"/>
      <c r="S5" s="251"/>
      <c r="T5" s="251"/>
      <c r="U5" s="252"/>
    </row>
    <row r="6" spans="2:21">
      <c r="B6" s="259" t="s">
        <v>79</v>
      </c>
      <c r="C6" s="251" t="s">
        <v>99</v>
      </c>
      <c r="D6" s="251"/>
      <c r="E6" s="251"/>
      <c r="F6" s="251"/>
      <c r="G6" s="251" t="s">
        <v>496</v>
      </c>
      <c r="H6" s="251" t="s">
        <v>497</v>
      </c>
      <c r="I6" s="251"/>
      <c r="J6" s="251"/>
      <c r="K6" s="251"/>
      <c r="L6" s="251"/>
      <c r="M6" s="251"/>
      <c r="N6" s="251" t="s">
        <v>125</v>
      </c>
      <c r="O6" s="251"/>
      <c r="P6" s="251"/>
      <c r="Q6" s="251"/>
      <c r="R6" s="251"/>
      <c r="S6" s="251"/>
      <c r="T6" s="251"/>
      <c r="U6" s="252"/>
    </row>
    <row r="7" spans="2:21">
      <c r="B7" s="259" t="s">
        <v>77</v>
      </c>
      <c r="C7" s="251" t="s">
        <v>97</v>
      </c>
      <c r="D7" s="251"/>
      <c r="E7" s="251"/>
      <c r="F7" s="251"/>
      <c r="G7" s="251" t="s">
        <v>163</v>
      </c>
      <c r="H7" s="251" t="s">
        <v>155</v>
      </c>
      <c r="I7" s="251"/>
      <c r="J7" s="251"/>
      <c r="K7" s="251"/>
      <c r="L7" s="251"/>
      <c r="M7" s="251"/>
      <c r="N7" s="251"/>
      <c r="O7" s="251" t="s">
        <v>160</v>
      </c>
      <c r="P7" s="251" t="s">
        <v>153</v>
      </c>
      <c r="Q7" s="251"/>
      <c r="R7" s="251"/>
      <c r="S7" s="251"/>
      <c r="T7" s="251"/>
      <c r="U7" s="252"/>
    </row>
    <row r="8" spans="2:21">
      <c r="B8" s="260" t="s">
        <v>498</v>
      </c>
      <c r="C8" s="253" t="s">
        <v>95</v>
      </c>
      <c r="D8" s="253"/>
      <c r="E8" s="253"/>
      <c r="F8" s="253"/>
      <c r="G8" s="253" t="s">
        <v>147</v>
      </c>
      <c r="H8" s="253" t="s">
        <v>148</v>
      </c>
      <c r="I8" s="253"/>
      <c r="J8" s="253"/>
      <c r="K8" s="253" t="s">
        <v>146</v>
      </c>
      <c r="L8" s="253"/>
      <c r="M8" s="253"/>
      <c r="N8" s="253" t="s">
        <v>101</v>
      </c>
      <c r="O8" s="253"/>
      <c r="P8" s="253"/>
      <c r="Q8" s="253"/>
      <c r="R8" s="253"/>
      <c r="S8" s="253"/>
      <c r="T8" s="253"/>
      <c r="U8" s="254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10</vt:i4>
      </vt:variant>
    </vt:vector>
  </HeadingPairs>
  <TitlesOfParts>
    <vt:vector size="19" baseType="lpstr">
      <vt:lpstr>注音編碼對照表</vt:lpstr>
      <vt:lpstr>使用按鍵解析</vt:lpstr>
      <vt:lpstr>RIME設定解析</vt:lpstr>
      <vt:lpstr>注音符號表</vt:lpstr>
      <vt:lpstr>注音符號按鍵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2024-12-05T14:45:15Z</dcterms:modified>
</cp:coreProperties>
</file>