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9786AB1-2A77-4D46-ACDF-2FCAB5B3369A}" xr6:coauthVersionLast="47" xr6:coauthVersionMax="47" xr10:uidLastSave="{00000000-0000-0000-0000-000000000000}"/>
  <bookViews>
    <workbookView xWindow="-28920" yWindow="-120" windowWidth="29040" windowHeight="15840" xr2:uid="{C51098D6-2BA5-4527-8590-72FA04FD8588}"/>
  </bookViews>
  <sheets>
    <sheet name="鍵盤" sheetId="2" r:id="rId1"/>
    <sheet name="RIME對映編碼 (萌台語)" sheetId="1" r:id="rId2"/>
    <sheet name="RIME對映編碼 (萌台語) (2)" sheetId="4" r:id="rId3"/>
    <sheet name="工作表1" sheetId="3" r:id="rId4"/>
  </sheets>
  <externalReferences>
    <externalReference r:id="rId5"/>
  </externalReferences>
  <definedNames>
    <definedName name="方音符號" localSheetId="1">'RIME對映編碼 (萌台語)'!$T$3:$T$57</definedName>
    <definedName name="方音符號" localSheetId="2">'RIME對映編碼 (萌台語) (2)'!$T$3:$T$57</definedName>
    <definedName name="方音符號">[1]RIME編碼!$AA$3:$AA$45</definedName>
    <definedName name="字典編碼">[1]RIME編碼!$AB$3:$AB$45</definedName>
    <definedName name="拼音字母" localSheetId="1">'RIME對映編碼 (萌台語)'!#REF!</definedName>
    <definedName name="拼音字母" localSheetId="2">'RIME對映編碼 (萌台語) (2)'!#REF!</definedName>
    <definedName name="拼音字母">[1]RIME編碼!$AC$3:$AC$45</definedName>
    <definedName name="按鍵編碼" localSheetId="1">'RIME對映編碼 (萌台語)'!$S$3:$S$57</definedName>
    <definedName name="按鍵編碼" localSheetId="2">'RIME對映編碼 (萌台語) (2)'!$S$3:$S$57</definedName>
    <definedName name="按鍵編碼" localSheetId="3">工作表1!$T$3:$T$57</definedName>
    <definedName name="國際音標" localSheetId="1">'RIME對映編碼 (萌台語)'!#REF!</definedName>
    <definedName name="國際音標" localSheetId="2">'RIME對映編碼 (萌台語) (2)'!#REF!</definedName>
    <definedName name="鍵盤位置" localSheetId="1">'RIME對映編碼 (萌台語)'!$R$3:$R$57</definedName>
    <definedName name="鍵盤位置" localSheetId="2">'RIME對映編碼 (萌台語) (2)'!$R$3:$R$57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4" l="1"/>
  <c r="B26" i="4"/>
  <c r="A23" i="4"/>
  <c r="A24" i="4" s="1"/>
  <c r="A22" i="4"/>
  <c r="O38" i="4" s="1"/>
  <c r="A22" i="1"/>
  <c r="A23" i="1" s="1"/>
  <c r="A11" i="4"/>
  <c r="A12" i="4" s="1"/>
  <c r="A16" i="4"/>
  <c r="A15" i="4"/>
  <c r="A7" i="4"/>
  <c r="A6" i="4"/>
  <c r="A2" i="4" s="1"/>
  <c r="A3" i="4" s="1"/>
  <c r="S73" i="4"/>
  <c r="V50" i="4"/>
  <c r="O42" i="4"/>
  <c r="O34" i="4"/>
  <c r="O31" i="4"/>
  <c r="O26" i="4"/>
  <c r="O25" i="4"/>
  <c r="O20" i="4"/>
  <c r="O18" i="4"/>
  <c r="O15" i="4"/>
  <c r="O13" i="4"/>
  <c r="O11" i="4"/>
  <c r="O10" i="4"/>
  <c r="O7" i="4"/>
  <c r="R3" i="1"/>
  <c r="V50" i="1"/>
  <c r="V46" i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4" i="3"/>
  <c r="N55" i="3"/>
  <c r="N56" i="3"/>
  <c r="N50" i="3"/>
  <c r="N51" i="3"/>
  <c r="N52" i="3"/>
  <c r="N53" i="3"/>
  <c r="N57" i="3"/>
  <c r="N58" i="3"/>
  <c r="N59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60" i="3"/>
  <c r="B59" i="3"/>
  <c r="B58" i="3"/>
  <c r="B57" i="3"/>
  <c r="B56" i="3"/>
  <c r="B55" i="3"/>
  <c r="B40" i="3"/>
  <c r="B39" i="3"/>
  <c r="B37" i="3"/>
  <c r="B38" i="3"/>
  <c r="B36" i="3"/>
  <c r="B35" i="3"/>
  <c r="B33" i="3"/>
  <c r="B34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L75" i="3"/>
  <c r="L74" i="3"/>
  <c r="O12" i="4" l="1"/>
  <c r="O14" i="4"/>
  <c r="O17" i="4"/>
  <c r="O30" i="4"/>
  <c r="O35" i="4"/>
  <c r="A24" i="1"/>
  <c r="A26" i="1" s="1"/>
  <c r="B26" i="1" s="1"/>
  <c r="A25" i="1"/>
  <c r="B25" i="1" s="1"/>
  <c r="O6" i="4"/>
  <c r="O3" i="4"/>
  <c r="O4" i="4"/>
  <c r="O5" i="4"/>
  <c r="O8" i="4"/>
  <c r="O9" i="4"/>
  <c r="A13" i="4"/>
  <c r="O16" i="4"/>
  <c r="O19" i="4"/>
  <c r="A4" i="4"/>
  <c r="O43" i="4"/>
  <c r="O21" i="4"/>
  <c r="O27" i="4"/>
  <c r="O29" i="4"/>
  <c r="O33" i="4"/>
  <c r="O37" i="4"/>
  <c r="O41" i="4"/>
  <c r="O22" i="4"/>
  <c r="O23" i="4"/>
  <c r="O24" i="4"/>
  <c r="O28" i="4"/>
  <c r="O32" i="4"/>
  <c r="O36" i="4"/>
  <c r="O40" i="4"/>
  <c r="O44" i="4"/>
  <c r="O39" i="4"/>
  <c r="L76" i="3"/>
  <c r="S57" i="4" l="1"/>
  <c r="S56" i="4"/>
  <c r="S55" i="4"/>
  <c r="S51" i="4"/>
  <c r="S50" i="4"/>
  <c r="S42" i="4"/>
  <c r="S49" i="4"/>
  <c r="S48" i="4"/>
  <c r="S43" i="4"/>
  <c r="S39" i="4"/>
  <c r="S35" i="4"/>
  <c r="S31" i="4"/>
  <c r="S27" i="4"/>
  <c r="S25" i="4"/>
  <c r="S54" i="4"/>
  <c r="S53" i="4"/>
  <c r="S52" i="4"/>
  <c r="S47" i="4"/>
  <c r="S44" i="4"/>
  <c r="S40" i="4"/>
  <c r="S36" i="4"/>
  <c r="S32" i="4"/>
  <c r="S28" i="4"/>
  <c r="S24" i="4"/>
  <c r="S23" i="4"/>
  <c r="S22" i="4"/>
  <c r="S21" i="4"/>
  <c r="S37" i="4"/>
  <c r="S26" i="4"/>
  <c r="S18" i="4"/>
  <c r="S14" i="4"/>
  <c r="S13" i="4"/>
  <c r="S12" i="4"/>
  <c r="S11" i="4"/>
  <c r="S7" i="4"/>
  <c r="B6" i="4"/>
  <c r="S41" i="4"/>
  <c r="S38" i="4"/>
  <c r="A25" i="4" s="1"/>
  <c r="S33" i="4"/>
  <c r="S19" i="4"/>
  <c r="S8" i="4"/>
  <c r="S6" i="4"/>
  <c r="S30" i="4"/>
  <c r="S45" i="4"/>
  <c r="S34" i="4"/>
  <c r="S29" i="4"/>
  <c r="S20" i="4"/>
  <c r="S16" i="4"/>
  <c r="S9" i="4"/>
  <c r="S5" i="4"/>
  <c r="S4" i="4"/>
  <c r="S3" i="4"/>
  <c r="S46" i="4"/>
  <c r="S15" i="4"/>
  <c r="S17" i="4"/>
  <c r="S10" i="4"/>
  <c r="A14" i="4"/>
  <c r="A5" i="4"/>
  <c r="A21" i="4" l="1"/>
  <c r="B25" i="4"/>
  <c r="R49" i="4"/>
  <c r="R48" i="4"/>
  <c r="R43" i="4"/>
  <c r="R39" i="4"/>
  <c r="R54" i="4"/>
  <c r="R53" i="4"/>
  <c r="R52" i="4"/>
  <c r="R47" i="4"/>
  <c r="R44" i="4"/>
  <c r="R40" i="4"/>
  <c r="R36" i="4"/>
  <c r="R32" i="4"/>
  <c r="R28" i="4"/>
  <c r="R24" i="4"/>
  <c r="R23" i="4"/>
  <c r="R22" i="4"/>
  <c r="R46" i="4"/>
  <c r="R45" i="4"/>
  <c r="R41" i="4"/>
  <c r="R37" i="4"/>
  <c r="R33" i="4"/>
  <c r="R29" i="4"/>
  <c r="R42" i="4"/>
  <c r="R38" i="4"/>
  <c r="R35" i="4"/>
  <c r="R25" i="4"/>
  <c r="R19" i="4"/>
  <c r="R8" i="4"/>
  <c r="R6" i="4"/>
  <c r="R34" i="4"/>
  <c r="R31" i="4"/>
  <c r="R20" i="4"/>
  <c r="R16" i="4"/>
  <c r="R9" i="4"/>
  <c r="R5" i="4"/>
  <c r="R4" i="4"/>
  <c r="V4" i="4" s="1"/>
  <c r="R3" i="4"/>
  <c r="R21" i="4"/>
  <c r="R57" i="4"/>
  <c r="R56" i="4"/>
  <c r="R55" i="4"/>
  <c r="R51" i="4"/>
  <c r="R50" i="4"/>
  <c r="R30" i="4"/>
  <c r="R27" i="4"/>
  <c r="R17" i="4"/>
  <c r="R15" i="4"/>
  <c r="R10" i="4"/>
  <c r="R26" i="4"/>
  <c r="B7" i="4"/>
  <c r="R18" i="4"/>
  <c r="R14" i="4"/>
  <c r="R13" i="4"/>
  <c r="R12" i="4"/>
  <c r="R11" i="4"/>
  <c r="R7" i="4"/>
  <c r="B16" i="4"/>
  <c r="V46" i="4"/>
  <c r="S72" i="4"/>
  <c r="S74" i="4" s="1"/>
  <c r="B15" i="4"/>
  <c r="N33" i="4" l="1"/>
  <c r="N21" i="4"/>
  <c r="N32" i="4"/>
  <c r="N12" i="4"/>
  <c r="N31" i="4"/>
  <c r="N7" i="4"/>
  <c r="N26" i="4"/>
  <c r="N16" i="4"/>
  <c r="N41" i="4"/>
  <c r="N25" i="4"/>
  <c r="N13" i="4"/>
  <c r="N4" i="4"/>
  <c r="N42" i="4"/>
  <c r="N44" i="4"/>
  <c r="N30" i="4"/>
  <c r="N10" i="4"/>
  <c r="N22" i="4"/>
  <c r="N43" i="4"/>
  <c r="N23" i="4"/>
  <c r="N3" i="4"/>
  <c r="N5" i="4"/>
  <c r="N9" i="4"/>
  <c r="N27" i="4"/>
  <c r="N24" i="4"/>
  <c r="N36" i="4"/>
  <c r="N15" i="4"/>
  <c r="N40" i="4"/>
  <c r="N20" i="4"/>
  <c r="N38" i="4"/>
  <c r="N14" i="4"/>
  <c r="N34" i="4"/>
  <c r="N29" i="4"/>
  <c r="N6" i="4"/>
  <c r="N8" i="4"/>
  <c r="N19" i="4"/>
  <c r="N39" i="4"/>
  <c r="N11" i="4"/>
  <c r="N35" i="4"/>
  <c r="N28" i="4"/>
  <c r="N37" i="4"/>
  <c r="N17" i="4"/>
  <c r="N18" i="4"/>
  <c r="V7" i="4"/>
  <c r="V30" i="4"/>
  <c r="V38" i="4"/>
  <c r="V37" i="4"/>
  <c r="V22" i="4"/>
  <c r="V32" i="4"/>
  <c r="V39" i="4"/>
  <c r="V11" i="4"/>
  <c r="V18" i="4"/>
  <c r="V15" i="4"/>
  <c r="V5" i="4"/>
  <c r="V31" i="4"/>
  <c r="V19" i="4"/>
  <c r="V42" i="4"/>
  <c r="V41" i="4"/>
  <c r="V23" i="4"/>
  <c r="V36" i="4"/>
  <c r="V43" i="4"/>
  <c r="V14" i="4"/>
  <c r="V20" i="4"/>
  <c r="V12" i="4"/>
  <c r="V17" i="4"/>
  <c r="V21" i="4"/>
  <c r="V9" i="4"/>
  <c r="V34" i="4"/>
  <c r="V25" i="4"/>
  <c r="V29" i="4"/>
  <c r="V24" i="4"/>
  <c r="V40" i="4"/>
  <c r="V10" i="4"/>
  <c r="V8" i="4"/>
  <c r="V13" i="4"/>
  <c r="V26" i="4"/>
  <c r="V27" i="4"/>
  <c r="F59" i="4"/>
  <c r="V3" i="4"/>
  <c r="V16" i="4"/>
  <c r="V6" i="4"/>
  <c r="V35" i="4"/>
  <c r="V33" i="4"/>
  <c r="V28" i="4"/>
  <c r="V44" i="4"/>
  <c r="A3" i="1" l="1"/>
  <c r="A4" i="1" s="1"/>
  <c r="A5" i="1" s="1"/>
  <c r="A7" i="1" s="1"/>
  <c r="E3" i="1" a="1"/>
  <c r="E3" i="1" s="1"/>
  <c r="N3" i="1" s="1"/>
  <c r="E4" i="1" a="1"/>
  <c r="E4" i="1" s="1"/>
  <c r="N4" i="1" s="1"/>
  <c r="E5" i="1" a="1"/>
  <c r="E5" i="1" s="1"/>
  <c r="N5" i="1" s="1"/>
  <c r="E6" i="1" a="1"/>
  <c r="E6" i="1" s="1"/>
  <c r="E7" i="1" a="1"/>
  <c r="E7" i="1" s="1"/>
  <c r="N7" i="1"/>
  <c r="E8" i="1" a="1"/>
  <c r="E8" i="1" s="1"/>
  <c r="N8" i="1" s="1"/>
  <c r="E9" i="1" a="1"/>
  <c r="E9" i="1" s="1"/>
  <c r="N9" i="1" s="1"/>
  <c r="E10" i="1" a="1"/>
  <c r="E10" i="1" s="1"/>
  <c r="N10" i="1" s="1"/>
  <c r="E11" i="1" a="1"/>
  <c r="E11" i="1" s="1"/>
  <c r="N11" i="1" s="1"/>
  <c r="A12" i="1"/>
  <c r="A13" i="1" s="1"/>
  <c r="A14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N16" i="1" s="1"/>
  <c r="E17" i="1" a="1"/>
  <c r="E17" i="1" s="1"/>
  <c r="E18" i="1" a="1"/>
  <c r="E18" i="1" s="1"/>
  <c r="N18" i="1" s="1"/>
  <c r="E19" i="1" a="1"/>
  <c r="E19" i="1" s="1"/>
  <c r="N19" i="1" s="1"/>
  <c r="E20" i="1" a="1"/>
  <c r="E20" i="1" s="1"/>
  <c r="E21" i="1" a="1"/>
  <c r="E21" i="1" s="1"/>
  <c r="O9" i="1"/>
  <c r="E22" i="1" a="1"/>
  <c r="E22" i="1" s="1"/>
  <c r="E23" i="1" a="1"/>
  <c r="E23" i="1" s="1"/>
  <c r="N23" i="1" s="1"/>
  <c r="E24" i="1" a="1"/>
  <c r="E24" i="1" s="1"/>
  <c r="N24" i="1" s="1"/>
  <c r="E25" i="1" a="1"/>
  <c r="E25" i="1" s="1"/>
  <c r="N25" i="1" s="1"/>
  <c r="E26" i="1" a="1"/>
  <c r="E26" i="1" s="1"/>
  <c r="E27" i="1" a="1"/>
  <c r="E27" i="1" s="1"/>
  <c r="N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O32" i="1" s="1"/>
  <c r="E33" i="1" a="1"/>
  <c r="E33" i="1"/>
  <c r="E34" i="1" a="1"/>
  <c r="E34" i="1" s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/>
  <c r="E42" i="1" a="1"/>
  <c r="E42" i="1" s="1"/>
  <c r="E43" i="1" a="1"/>
  <c r="E43" i="1"/>
  <c r="N43" i="1" s="1"/>
  <c r="E44" i="1" a="1"/>
  <c r="E44" i="1" s="1"/>
  <c r="E45" i="1" a="1"/>
  <c r="E45" i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 s="1"/>
  <c r="E55" i="1" a="1"/>
  <c r="E55" i="1"/>
  <c r="E56" i="1" a="1"/>
  <c r="E56" i="1" s="1"/>
  <c r="E57" i="1" a="1"/>
  <c r="E57" i="1" s="1"/>
  <c r="O40" i="1" l="1"/>
  <c r="O20" i="1"/>
  <c r="O43" i="1"/>
  <c r="O41" i="1"/>
  <c r="O36" i="1"/>
  <c r="A6" i="1"/>
  <c r="F12" i="1" s="1"/>
  <c r="S12" i="1" s="1"/>
  <c r="N12" i="1"/>
  <c r="G5" i="1"/>
  <c r="R5" i="1" s="1"/>
  <c r="B7" i="1"/>
  <c r="G11" i="1"/>
  <c r="R11" i="1" s="1"/>
  <c r="G22" i="1"/>
  <c r="R22" i="1" s="1"/>
  <c r="G33" i="1"/>
  <c r="R33" i="1" s="1"/>
  <c r="G37" i="1"/>
  <c r="R37" i="1" s="1"/>
  <c r="G49" i="1"/>
  <c r="R53" i="1" s="1"/>
  <c r="G8" i="1"/>
  <c r="R8" i="1" s="1"/>
  <c r="G12" i="1"/>
  <c r="R12" i="1" s="1"/>
  <c r="G31" i="1"/>
  <c r="R31" i="1" s="1"/>
  <c r="G35" i="1"/>
  <c r="R35" i="1" s="1"/>
  <c r="G39" i="1"/>
  <c r="R39" i="1" s="1"/>
  <c r="G42" i="1"/>
  <c r="R42" i="1" s="1"/>
  <c r="G53" i="1"/>
  <c r="R50" i="1" s="1"/>
  <c r="G32" i="1"/>
  <c r="R32" i="1" s="1"/>
  <c r="G36" i="1"/>
  <c r="R36" i="1" s="1"/>
  <c r="G40" i="1"/>
  <c r="R40" i="1" s="1"/>
  <c r="G41" i="1"/>
  <c r="R41" i="1" s="1"/>
  <c r="G43" i="1"/>
  <c r="R43" i="1" s="1"/>
  <c r="G45" i="1"/>
  <c r="R45" i="1" s="1"/>
  <c r="G7" i="1"/>
  <c r="R7" i="1" s="1"/>
  <c r="G44" i="1"/>
  <c r="R44" i="1" s="1"/>
  <c r="F30" i="1"/>
  <c r="S30" i="1" s="1"/>
  <c r="N30" i="1"/>
  <c r="N14" i="1"/>
  <c r="O14" i="1"/>
  <c r="N44" i="1"/>
  <c r="N42" i="1"/>
  <c r="F13" i="1"/>
  <c r="S13" i="1" s="1"/>
  <c r="N13" i="1"/>
  <c r="F3" i="1"/>
  <c r="S3" i="1" s="1"/>
  <c r="F11" i="1"/>
  <c r="S11" i="1" s="1"/>
  <c r="F23" i="1"/>
  <c r="S23" i="1" s="1"/>
  <c r="F27" i="1"/>
  <c r="S27" i="1" s="1"/>
  <c r="F41" i="1"/>
  <c r="S41" i="1" s="1"/>
  <c r="F43" i="1"/>
  <c r="S43" i="1" s="1"/>
  <c r="F50" i="1"/>
  <c r="S54" i="1" s="1"/>
  <c r="F54" i="1"/>
  <c r="S51" i="1" s="1"/>
  <c r="F42" i="1"/>
  <c r="S42" i="1" s="1"/>
  <c r="F49" i="1"/>
  <c r="S53" i="1" s="1"/>
  <c r="F7" i="1"/>
  <c r="S7" i="1" s="1"/>
  <c r="F46" i="1"/>
  <c r="S46" i="1" s="1"/>
  <c r="F25" i="1"/>
  <c r="S25" i="1" s="1"/>
  <c r="F29" i="1"/>
  <c r="S29" i="1" s="1"/>
  <c r="F44" i="1"/>
  <c r="S44" i="1" s="1"/>
  <c r="F26" i="1"/>
  <c r="S26" i="1" s="1"/>
  <c r="F22" i="1"/>
  <c r="S22" i="1" s="1"/>
  <c r="G55" i="1"/>
  <c r="R55" i="1" s="1"/>
  <c r="O44" i="1"/>
  <c r="O42" i="1"/>
  <c r="O37" i="1"/>
  <c r="O33" i="1"/>
  <c r="N26" i="1"/>
  <c r="O25" i="1"/>
  <c r="G25" i="1"/>
  <c r="R25" i="1" s="1"/>
  <c r="N22" i="1"/>
  <c r="O18" i="1"/>
  <c r="O15" i="1"/>
  <c r="G9" i="1"/>
  <c r="R9" i="1" s="1"/>
  <c r="F8" i="1"/>
  <c r="S8" i="1" s="1"/>
  <c r="G47" i="1"/>
  <c r="R47" i="1" s="1"/>
  <c r="G38" i="1"/>
  <c r="R38" i="1" s="1"/>
  <c r="G34" i="1"/>
  <c r="R34" i="1" s="1"/>
  <c r="G23" i="1"/>
  <c r="R23" i="1" s="1"/>
  <c r="G51" i="1"/>
  <c r="R48" i="1" s="1"/>
  <c r="V52" i="1" s="1"/>
  <c r="N41" i="1"/>
  <c r="F28" i="1"/>
  <c r="S28" i="1" s="1"/>
  <c r="O23" i="1"/>
  <c r="G15" i="1"/>
  <c r="R15" i="1" s="1"/>
  <c r="O16" i="1"/>
  <c r="N15" i="1"/>
  <c r="A15" i="1"/>
  <c r="J48" i="1" s="1"/>
  <c r="F57" i="1"/>
  <c r="S57" i="1" s="1"/>
  <c r="G57" i="1"/>
  <c r="R57" i="1" s="1"/>
  <c r="F48" i="1"/>
  <c r="S52" i="1" s="1"/>
  <c r="G48" i="1"/>
  <c r="R52" i="1" s="1"/>
  <c r="F56" i="1"/>
  <c r="S56" i="1" s="1"/>
  <c r="G56" i="1"/>
  <c r="R56" i="1" s="1"/>
  <c r="F52" i="1"/>
  <c r="S49" i="1" s="1"/>
  <c r="G52" i="1"/>
  <c r="R49" i="1" s="1"/>
  <c r="F55" i="1"/>
  <c r="S55" i="1" s="1"/>
  <c r="G54" i="1"/>
  <c r="R51" i="1" s="1"/>
  <c r="F51" i="1"/>
  <c r="S48" i="1" s="1"/>
  <c r="G50" i="1"/>
  <c r="R54" i="1" s="1"/>
  <c r="F47" i="1"/>
  <c r="S47" i="1" s="1"/>
  <c r="G46" i="1"/>
  <c r="R46" i="1" s="1"/>
  <c r="J37" i="1"/>
  <c r="N37" i="1"/>
  <c r="F33" i="1"/>
  <c r="S33" i="1" s="1"/>
  <c r="N33" i="1"/>
  <c r="N28" i="1"/>
  <c r="G19" i="1"/>
  <c r="R19" i="1" s="1"/>
  <c r="F38" i="1"/>
  <c r="S38" i="1" s="1"/>
  <c r="N38" i="1"/>
  <c r="N34" i="1"/>
  <c r="N20" i="1"/>
  <c r="G20" i="1"/>
  <c r="R20" i="1" s="1"/>
  <c r="N17" i="1"/>
  <c r="G17" i="1"/>
  <c r="R17" i="1" s="1"/>
  <c r="N6" i="1"/>
  <c r="F6" i="1"/>
  <c r="S6" i="1" s="1"/>
  <c r="N39" i="1"/>
  <c r="O38" i="1"/>
  <c r="F35" i="1"/>
  <c r="S35" i="1" s="1"/>
  <c r="N35" i="1"/>
  <c r="O34" i="1"/>
  <c r="F31" i="1"/>
  <c r="S31" i="1" s="1"/>
  <c r="N31" i="1"/>
  <c r="N29" i="1"/>
  <c r="F40" i="1"/>
  <c r="S40" i="1" s="1"/>
  <c r="N40" i="1"/>
  <c r="O39" i="1"/>
  <c r="F36" i="1"/>
  <c r="S36" i="1" s="1"/>
  <c r="N36" i="1"/>
  <c r="O35" i="1"/>
  <c r="F32" i="1"/>
  <c r="S32" i="1" s="1"/>
  <c r="N32" i="1"/>
  <c r="O31" i="1"/>
  <c r="N21" i="1"/>
  <c r="G21" i="1"/>
  <c r="R21" i="1" s="1"/>
  <c r="A16" i="1"/>
  <c r="O11" i="1"/>
  <c r="G10" i="1"/>
  <c r="R10" i="1" s="1"/>
  <c r="O7" i="1"/>
  <c r="O22" i="1"/>
  <c r="O19" i="1"/>
  <c r="G18" i="1"/>
  <c r="R18" i="1" s="1"/>
  <c r="G14" i="1"/>
  <c r="R14" i="1" s="1"/>
  <c r="O12" i="1"/>
  <c r="O10" i="1"/>
  <c r="F4" i="1"/>
  <c r="S4" i="1" s="1"/>
  <c r="B6" i="1"/>
  <c r="F14" i="1"/>
  <c r="S14" i="1" s="1"/>
  <c r="F16" i="1"/>
  <c r="S16" i="1" s="1"/>
  <c r="F17" i="1"/>
  <c r="S17" i="1" s="1"/>
  <c r="F18" i="1"/>
  <c r="S18" i="1" s="1"/>
  <c r="F19" i="1"/>
  <c r="S19" i="1" s="1"/>
  <c r="F20" i="1"/>
  <c r="S20" i="1" s="1"/>
  <c r="F21" i="1"/>
  <c r="S21" i="1" s="1"/>
  <c r="O5" i="1"/>
  <c r="F5" i="1"/>
  <c r="S5" i="1" s="1"/>
  <c r="O3" i="1"/>
  <c r="O6" i="1"/>
  <c r="O13" i="1"/>
  <c r="O24" i="1"/>
  <c r="O26" i="1"/>
  <c r="O27" i="1"/>
  <c r="O28" i="1"/>
  <c r="O29" i="1"/>
  <c r="O30" i="1"/>
  <c r="O4" i="1"/>
  <c r="O21" i="1"/>
  <c r="O17" i="1"/>
  <c r="G16" i="1"/>
  <c r="R16" i="1" s="1"/>
  <c r="O8" i="1"/>
  <c r="G3" i="1"/>
  <c r="G6" i="1"/>
  <c r="R6" i="1" s="1"/>
  <c r="G13" i="1"/>
  <c r="R13" i="1" s="1"/>
  <c r="G24" i="1"/>
  <c r="R24" i="1" s="1"/>
  <c r="G26" i="1"/>
  <c r="R26" i="1" s="1"/>
  <c r="G27" i="1"/>
  <c r="R27" i="1" s="1"/>
  <c r="G28" i="1"/>
  <c r="R28" i="1" s="1"/>
  <c r="G29" i="1"/>
  <c r="R29" i="1" s="1"/>
  <c r="G30" i="1"/>
  <c r="R30" i="1" s="1"/>
  <c r="G4" i="1"/>
  <c r="R4" i="1" s="1"/>
  <c r="J5" i="1" l="1"/>
  <c r="J10" i="1"/>
  <c r="J16" i="1"/>
  <c r="J8" i="1"/>
  <c r="B15" i="1"/>
  <c r="F39" i="1"/>
  <c r="S39" i="1" s="1"/>
  <c r="F34" i="1"/>
  <c r="S34" i="1" s="1"/>
  <c r="F37" i="1"/>
  <c r="S37" i="1" s="1"/>
  <c r="S72" i="1" s="1"/>
  <c r="F10" i="1"/>
  <c r="S10" i="1" s="1"/>
  <c r="F15" i="1"/>
  <c r="S15" i="1" s="1"/>
  <c r="F9" i="1"/>
  <c r="S9" i="1" s="1"/>
  <c r="F53" i="1"/>
  <c r="S50" i="1" s="1"/>
  <c r="F45" i="1"/>
  <c r="S45" i="1" s="1"/>
  <c r="F24" i="1"/>
  <c r="S24" i="1" s="1"/>
  <c r="J31" i="1"/>
  <c r="J35" i="1"/>
  <c r="J39" i="1"/>
  <c r="J38" i="1"/>
  <c r="J24" i="1"/>
  <c r="J4" i="1"/>
  <c r="J20" i="1"/>
  <c r="J3" i="1"/>
  <c r="J21" i="1"/>
  <c r="J57" i="1"/>
  <c r="J54" i="1"/>
  <c r="J42" i="1"/>
  <c r="J7" i="1"/>
  <c r="J23" i="1"/>
  <c r="J34" i="1"/>
  <c r="J6" i="1"/>
  <c r="J18" i="1"/>
  <c r="J26" i="1"/>
  <c r="J53" i="1"/>
  <c r="J28" i="1"/>
  <c r="J30" i="1"/>
  <c r="J14" i="1"/>
  <c r="J25" i="1"/>
  <c r="J43" i="1"/>
  <c r="J41" i="1"/>
  <c r="J17" i="1"/>
  <c r="J29" i="1"/>
  <c r="J47" i="1"/>
  <c r="J33" i="1"/>
  <c r="J45" i="1"/>
  <c r="J11" i="1"/>
  <c r="J15" i="1"/>
  <c r="J9" i="1"/>
  <c r="J51" i="1"/>
  <c r="J56" i="1"/>
  <c r="J44" i="1"/>
  <c r="J19" i="1"/>
  <c r="J22" i="1"/>
  <c r="J13" i="1"/>
  <c r="J12" i="1"/>
  <c r="J27" i="1"/>
  <c r="J32" i="1"/>
  <c r="J36" i="1"/>
  <c r="J40" i="1"/>
  <c r="J55" i="1"/>
  <c r="J52" i="1"/>
  <c r="J49" i="1"/>
  <c r="J50" i="1"/>
  <c r="J46" i="1"/>
  <c r="K5" i="1"/>
  <c r="K7" i="1"/>
  <c r="K8" i="1"/>
  <c r="K9" i="1"/>
  <c r="K10" i="1"/>
  <c r="K11" i="1"/>
  <c r="K22" i="1"/>
  <c r="K25" i="1"/>
  <c r="K3" i="1"/>
  <c r="K4" i="1"/>
  <c r="K12" i="1"/>
  <c r="K14" i="1"/>
  <c r="K18" i="1"/>
  <c r="K28" i="1"/>
  <c r="B16" i="1"/>
  <c r="K19" i="1"/>
  <c r="K24" i="1"/>
  <c r="K13" i="1"/>
  <c r="K16" i="1"/>
  <c r="K20" i="1"/>
  <c r="K26" i="1"/>
  <c r="K30" i="1"/>
  <c r="K6" i="1"/>
  <c r="K15" i="1"/>
  <c r="K34" i="1"/>
  <c r="K38" i="1"/>
  <c r="K41" i="1"/>
  <c r="K42" i="1"/>
  <c r="K43" i="1"/>
  <c r="K44" i="1"/>
  <c r="K45" i="1"/>
  <c r="K49" i="1"/>
  <c r="K53" i="1"/>
  <c r="K57" i="1"/>
  <c r="K21" i="1"/>
  <c r="K27" i="1"/>
  <c r="K33" i="1"/>
  <c r="K37" i="1"/>
  <c r="K46" i="1"/>
  <c r="K50" i="1"/>
  <c r="K54" i="1"/>
  <c r="K32" i="1"/>
  <c r="K36" i="1"/>
  <c r="K40" i="1"/>
  <c r="K47" i="1"/>
  <c r="K51" i="1"/>
  <c r="K55" i="1"/>
  <c r="K17" i="1"/>
  <c r="K23" i="1"/>
  <c r="K29" i="1"/>
  <c r="K31" i="1"/>
  <c r="K35" i="1"/>
  <c r="K39" i="1"/>
  <c r="K48" i="1"/>
  <c r="K52" i="1"/>
  <c r="K56" i="1"/>
  <c r="V13" i="1" l="1"/>
  <c r="V44" i="1"/>
  <c r="V5" i="1"/>
  <c r="V37" i="1"/>
  <c r="V38" i="1"/>
  <c r="V28" i="1"/>
  <c r="V7" i="1"/>
  <c r="V8" i="1"/>
  <c r="V43" i="1"/>
  <c r="V23" i="1"/>
  <c r="V24" i="1"/>
  <c r="V35" i="1"/>
  <c r="V15" i="1"/>
  <c r="V21" i="1"/>
  <c r="V9" i="1"/>
  <c r="V39" i="1"/>
  <c r="V33" i="1"/>
  <c r="V27" i="1"/>
  <c r="V18" i="1"/>
  <c r="V42" i="1"/>
  <c r="V36" i="1"/>
  <c r="V16" i="1"/>
  <c r="V11" i="1"/>
  <c r="V3" i="1"/>
  <c r="V6" i="1"/>
  <c r="V31" i="1"/>
  <c r="V32" i="1"/>
  <c r="V12" i="1"/>
  <c r="V29" i="1"/>
  <c r="V41" i="1"/>
  <c r="V17" i="1"/>
  <c r="V10" i="1"/>
  <c r="V30" i="1"/>
  <c r="V40" i="1"/>
  <c r="V25" i="1"/>
  <c r="V4" i="1"/>
  <c r="V19" i="1"/>
  <c r="V22" i="1"/>
  <c r="V34" i="1"/>
  <c r="V20" i="1"/>
  <c r="V14" i="1"/>
  <c r="V26" i="1"/>
  <c r="S73" i="1" l="1"/>
  <c r="S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<sst xmlns="http://schemas.openxmlformats.org/spreadsheetml/2006/main" count="957" uniqueCount="262">
  <si>
    <t>[ẽ]</t>
  </si>
  <si>
    <t>enn</t>
  </si>
  <si>
    <t>[ũ]</t>
  </si>
  <si>
    <t>unn</t>
  </si>
  <si>
    <t>[ĩ]</t>
  </si>
  <si>
    <t>inn</t>
  </si>
  <si>
    <t>[ã]</t>
  </si>
  <si>
    <t>ann</t>
  </si>
  <si>
    <t>[ɔm]</t>
  </si>
  <si>
    <t>om</t>
  </si>
  <si>
    <t>[am]</t>
  </si>
  <si>
    <t>am</t>
  </si>
  <si>
    <t>[ŋ̍]</t>
  </si>
  <si>
    <t>ng</t>
  </si>
  <si>
    <t>[əŋ]</t>
  </si>
  <si>
    <t>-ng</t>
  </si>
  <si>
    <t>[aŋ]</t>
  </si>
  <si>
    <t>ang</t>
  </si>
  <si>
    <t>[ən]</t>
  </si>
  <si>
    <t>-n</t>
  </si>
  <si>
    <t>[an]</t>
  </si>
  <si>
    <t>an</t>
  </si>
  <si>
    <t>[ɔŋ]</t>
  </si>
  <si>
    <t>ong</t>
  </si>
  <si>
    <t>[au]</t>
  </si>
  <si>
    <t>au</t>
  </si>
  <si>
    <t>[e]</t>
  </si>
  <si>
    <t>e</t>
  </si>
  <si>
    <t>[ai]</t>
  </si>
  <si>
    <t>ai</t>
  </si>
  <si>
    <t>[ə]</t>
  </si>
  <si>
    <t>o</t>
  </si>
  <si>
    <t>[ɔ]</t>
  </si>
  <si>
    <t>oo</t>
  </si>
  <si>
    <t>[a]</t>
  </si>
  <si>
    <t>a</t>
  </si>
  <si>
    <t>[m̩]</t>
  </si>
  <si>
    <t>m</t>
  </si>
  <si>
    <t>[u]</t>
  </si>
  <si>
    <t>u</t>
  </si>
  <si>
    <t>[i]</t>
  </si>
  <si>
    <t>i</t>
  </si>
  <si>
    <t>[s]</t>
  </si>
  <si>
    <t>s</t>
  </si>
  <si>
    <t>[t͡sʰ]</t>
  </si>
  <si>
    <t>ch</t>
    <phoneticPr fontId="11" type="noConversion"/>
  </si>
  <si>
    <t>[t͡s]</t>
  </si>
  <si>
    <t>c</t>
    <phoneticPr fontId="11" type="noConversion"/>
  </si>
  <si>
    <t>[d͡z]</t>
  </si>
  <si>
    <t>ji</t>
  </si>
  <si>
    <t>comment_format:</t>
    <phoneticPr fontId="11" type="noConversion"/>
  </si>
  <si>
    <t>[d͡ʑ]</t>
  </si>
  <si>
    <t>[ŋ]</t>
  </si>
  <si>
    <t>[g]</t>
  </si>
  <si>
    <t>g</t>
  </si>
  <si>
    <t>[ɕ]</t>
  </si>
  <si>
    <t>si</t>
  </si>
  <si>
    <t>[t͡ɕʰ]</t>
  </si>
  <si>
    <t>chi</t>
    <phoneticPr fontId="11" type="noConversion"/>
  </si>
  <si>
    <t>[t͡ɕ]</t>
  </si>
  <si>
    <t>ci</t>
    <phoneticPr fontId="11" type="noConversion"/>
  </si>
  <si>
    <t>[h]</t>
  </si>
  <si>
    <t>h</t>
  </si>
  <si>
    <t>[kʰ]</t>
  </si>
  <si>
    <t>kh</t>
  </si>
  <si>
    <t>[k]</t>
  </si>
  <si>
    <t>k</t>
  </si>
  <si>
    <t>- "xlit|1!qa2wsxeEdDcrRfvyYhn8*iIkoO9(lL,&lt;m0p;:/-uUjJ 43btgz657|ㄅㆠㄆㄇㄉㄊㄋㄌㄍㆣㄎㄫㄏㄐㆢㄑㄒㄗㆡㄘㄙㄚㆩㆦㆧㄜㆤㆥㄞㆮㄠㆯㆰㆱㆬㄢㄣㄤㆲㄥㆭㄧㆪㄨㆫ ˋ˪ㆴㆵㆻㆷˊ˫˙|"</t>
  </si>
  <si>
    <t>[l]</t>
  </si>
  <si>
    <t>l</t>
  </si>
  <si>
    <t>preedit_format:</t>
    <phoneticPr fontId="11" type="noConversion"/>
  </si>
  <si>
    <t>[n]</t>
  </si>
  <si>
    <t>n</t>
  </si>
  <si>
    <t>[tʰ]</t>
  </si>
  <si>
    <t>th</t>
  </si>
  <si>
    <t>[t]</t>
  </si>
  <si>
    <t>t</t>
  </si>
  <si>
    <t>[b]</t>
  </si>
  <si>
    <t>b</t>
  </si>
  <si>
    <t>[m]</t>
  </si>
  <si>
    <t>[pʰ]</t>
  </si>
  <si>
    <t>ph</t>
  </si>
  <si>
    <t>[p]</t>
  </si>
  <si>
    <t>p</t>
  </si>
  <si>
    <t>國際音標</t>
    <phoneticPr fontId="18" type="noConversion"/>
  </si>
  <si>
    <t>拼音字母</t>
    <phoneticPr fontId="18" type="noConversion"/>
  </si>
  <si>
    <t>方音符號</t>
    <phoneticPr fontId="18" type="noConversion"/>
  </si>
  <si>
    <t>字典編碼</t>
    <phoneticPr fontId="18" type="noConversion"/>
  </si>
  <si>
    <t>鍵盤位置</t>
    <phoneticPr fontId="18" type="noConversion"/>
  </si>
  <si>
    <t>方音符號</t>
    <phoneticPr fontId="11" type="noConversion"/>
  </si>
  <si>
    <t>字典編碼</t>
  </si>
  <si>
    <t>方音符號</t>
  </si>
  <si>
    <t>鍵盤按鍵</t>
    <phoneticPr fontId="11" type="noConversion"/>
  </si>
  <si>
    <t xml:space="preserve"> - 'xlit|pbPmtTnlkgKGhZJCSzjcsaAOQoeEyYxX{}M0N[]RriIuU1239&gt;&lt;4578|1!qa2wsxeEdDcrRfvyYhn8*iIkoO9(lL,&lt;m0p;:/-uUjJ 43btgz657|'</t>
    <phoneticPr fontId="21" type="noConversion"/>
  </si>
  <si>
    <t>對映總表</t>
    <phoneticPr fontId="11" type="noConversion"/>
  </si>
  <si>
    <t>comment_format</t>
    <phoneticPr fontId="11" type="noConversion"/>
  </si>
  <si>
    <t>Speller</t>
    <phoneticPr fontId="11" type="noConversion"/>
  </si>
  <si>
    <t>Speller:</t>
    <phoneticPr fontId="11" type="noConversion"/>
  </si>
  <si>
    <t>序號</t>
  </si>
  <si>
    <t>注音符號</t>
  </si>
  <si>
    <t>按鍵字元</t>
  </si>
  <si>
    <t>ㄅ</t>
  </si>
  <si>
    <t>ㄆ</t>
  </si>
  <si>
    <t>P</t>
  </si>
  <si>
    <t>q</t>
  </si>
  <si>
    <t>ㆠ</t>
  </si>
  <si>
    <t>!</t>
  </si>
  <si>
    <t>ㄇ</t>
  </si>
  <si>
    <t>ㄉ</t>
  </si>
  <si>
    <t>ㄊ</t>
  </si>
  <si>
    <t>T</t>
  </si>
  <si>
    <t>w</t>
  </si>
  <si>
    <t>ㄋ</t>
  </si>
  <si>
    <t>ㄌ</t>
  </si>
  <si>
    <t>x</t>
  </si>
  <si>
    <t>ㄍ</t>
  </si>
  <si>
    <t>ㄎ</t>
  </si>
  <si>
    <t>K</t>
  </si>
  <si>
    <t>d</t>
  </si>
  <si>
    <t>ㆣ</t>
  </si>
  <si>
    <t>E</t>
  </si>
  <si>
    <t>ㄫ</t>
  </si>
  <si>
    <t>v</t>
  </si>
  <si>
    <t>ㄗ</t>
  </si>
  <si>
    <t>c</t>
  </si>
  <si>
    <t>y</t>
  </si>
  <si>
    <t>ㄘ</t>
  </si>
  <si>
    <t>ch</t>
  </si>
  <si>
    <t>C</t>
  </si>
  <si>
    <t>ㆡ</t>
  </si>
  <si>
    <t>j</t>
  </si>
  <si>
    <t>Y</t>
  </si>
  <si>
    <t>ㄙ</t>
  </si>
  <si>
    <t>ㄏ</t>
  </si>
  <si>
    <t>ㄧ</t>
  </si>
  <si>
    <t>ㄨ</t>
  </si>
  <si>
    <t>ㄚ</t>
  </si>
  <si>
    <t>ㆦ</t>
  </si>
  <si>
    <t>O</t>
  </si>
  <si>
    <t>ㄜ</t>
  </si>
  <si>
    <t>,</t>
  </si>
  <si>
    <t>ㄣ</t>
  </si>
  <si>
    <t>D</t>
  </si>
  <si>
    <t>ㄤ</t>
  </si>
  <si>
    <t>Q</t>
  </si>
  <si>
    <t>;</t>
  </si>
  <si>
    <t>ㄥ</t>
  </si>
  <si>
    <t>W</t>
  </si>
  <si>
    <t>/</t>
  </si>
  <si>
    <t>ㄞ</t>
  </si>
  <si>
    <t>I</t>
  </si>
  <si>
    <t>ㄢ</t>
  </si>
  <si>
    <t>L</t>
  </si>
  <si>
    <t>ㄠ</t>
  </si>
  <si>
    <t>U</t>
  </si>
  <si>
    <t>ㆬ</t>
  </si>
  <si>
    <t>-m</t>
  </si>
  <si>
    <t>M</t>
  </si>
  <si>
    <t xml:space="preserve"> </t>
  </si>
  <si>
    <t/>
  </si>
  <si>
    <t>ˊ</t>
  </si>
  <si>
    <t>ˋ</t>
  </si>
  <si>
    <t>˙</t>
  </si>
  <si>
    <t>˪</t>
  </si>
  <si>
    <t>˫</t>
  </si>
  <si>
    <t>ㆪ</t>
  </si>
  <si>
    <t>Z</t>
  </si>
  <si>
    <t>ㆫ</t>
  </si>
  <si>
    <t>X</t>
  </si>
  <si>
    <t>J</t>
  </si>
  <si>
    <t>ㆩ</t>
  </si>
  <si>
    <t>R</t>
  </si>
  <si>
    <t>*</t>
  </si>
  <si>
    <t>ㆧ</t>
  </si>
  <si>
    <t>S</t>
  </si>
  <si>
    <t>ㆥ</t>
  </si>
  <si>
    <t>&lt;</t>
  </si>
  <si>
    <t>ㆮ</t>
  </si>
  <si>
    <t>V</t>
  </si>
  <si>
    <t>(</t>
  </si>
  <si>
    <t>ㆯ</t>
  </si>
  <si>
    <t>F</t>
  </si>
  <si>
    <t>ㆰ</t>
  </si>
  <si>
    <t>B</t>
  </si>
  <si>
    <t>ㆱ</t>
  </si>
  <si>
    <t>H</t>
  </si>
  <si>
    <t>f</t>
  </si>
  <si>
    <t>ㆲ</t>
  </si>
  <si>
    <t>r</t>
  </si>
  <si>
    <t>ㆭ</t>
  </si>
  <si>
    <t>ㄐ</t>
  </si>
  <si>
    <t>ㄑ</t>
  </si>
  <si>
    <t>ㆢ</t>
  </si>
  <si>
    <t>ㄒ</t>
  </si>
  <si>
    <t>ㆴ</t>
  </si>
  <si>
    <t>ㆵ</t>
  </si>
  <si>
    <t>ㆻ</t>
  </si>
  <si>
    <t>ㆷ</t>
  </si>
  <si>
    <t>使用之注音符號</t>
    <phoneticPr fontId="21" type="noConversion"/>
  </si>
  <si>
    <t>拼音字母</t>
    <phoneticPr fontId="21" type="noConversion"/>
  </si>
  <si>
    <t>字典編碼</t>
    <phoneticPr fontId="21" type="noConversion"/>
  </si>
  <si>
    <t>ㄜ</t>
    <phoneticPr fontId="21" type="noConversion"/>
  </si>
  <si>
    <t>國際音標</t>
    <phoneticPr fontId="21" type="noConversion"/>
  </si>
  <si>
    <t>[p]</t>
    <phoneticPr fontId="21" type="noConversion"/>
  </si>
  <si>
    <t>ci</t>
    <phoneticPr fontId="21" type="noConversion"/>
  </si>
  <si>
    <t>chi</t>
    <phoneticPr fontId="21" type="noConversion"/>
  </si>
  <si>
    <t>si</t>
    <phoneticPr fontId="21" type="noConversion"/>
  </si>
  <si>
    <t>ji</t>
    <phoneticPr fontId="21" type="noConversion"/>
  </si>
  <si>
    <t>1</t>
  </si>
  <si>
    <t>2</t>
  </si>
  <si>
    <t>G</t>
  </si>
  <si>
    <t>z</t>
  </si>
  <si>
    <t>8</t>
  </si>
  <si>
    <t>A</t>
  </si>
  <si>
    <t>ㆤ</t>
  </si>
  <si>
    <t>9</t>
  </si>
  <si>
    <t>{</t>
  </si>
  <si>
    <t>}</t>
  </si>
  <si>
    <t>0</t>
  </si>
  <si>
    <t>N</t>
  </si>
  <si>
    <t>[</t>
  </si>
  <si>
    <t>:</t>
  </si>
  <si>
    <t>]</t>
  </si>
  <si>
    <t>-</t>
  </si>
  <si>
    <t>4</t>
  </si>
  <si>
    <t>3</t>
  </si>
  <si>
    <t>&gt;</t>
  </si>
  <si>
    <t>6</t>
  </si>
  <si>
    <t>5</t>
  </si>
  <si>
    <t>7</t>
  </si>
  <si>
    <t>ㆤ</t>
    <phoneticPr fontId="21" type="noConversion"/>
  </si>
  <si>
    <t>inn</t>
    <phoneticPr fontId="21" type="noConversion"/>
  </si>
  <si>
    <t>unn</t>
    <phoneticPr fontId="21" type="noConversion"/>
  </si>
  <si>
    <t>ann</t>
    <phoneticPr fontId="21" type="noConversion"/>
  </si>
  <si>
    <t>onn</t>
    <phoneticPr fontId="21" type="noConversion"/>
  </si>
  <si>
    <t>enn</t>
    <phoneticPr fontId="21" type="noConversion"/>
  </si>
  <si>
    <t>ainn</t>
    <phoneticPr fontId="21" type="noConversion"/>
  </si>
  <si>
    <t>aunn</t>
    <phoneticPr fontId="21" type="noConversion"/>
  </si>
  <si>
    <r>
      <t>[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]</t>
    </r>
  </si>
  <si>
    <r>
      <t>[</t>
    </r>
    <r>
      <rPr>
        <sz val="18"/>
        <color theme="8" tint="0.39997558519241921"/>
        <rFont val="Noto Serif TC Medium"/>
      </rPr>
      <t>ɔ</t>
    </r>
    <r>
      <rPr>
        <sz val="18"/>
        <color theme="8" tint="0.39997558519241921"/>
        <rFont val="Arial"/>
        <family val="2"/>
      </rPr>
      <t>]</t>
    </r>
  </si>
  <si>
    <r>
      <t>[a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]</t>
    </r>
  </si>
  <si>
    <r>
      <t>[ə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]</t>
    </r>
  </si>
  <si>
    <r>
      <t>[</t>
    </r>
    <r>
      <rPr>
        <sz val="18"/>
        <color theme="8" tint="0.39997558519241921"/>
        <rFont val="Noto Serif TC Medium"/>
      </rPr>
      <t>ŋ</t>
    </r>
    <r>
      <rPr>
        <sz val="18"/>
        <color theme="8" tint="0.39997558519241921"/>
        <rFont val="Arial"/>
        <family val="2"/>
      </rPr>
      <t>̍]</t>
    </r>
  </si>
  <si>
    <r>
      <t>[</t>
    </r>
    <r>
      <rPr>
        <sz val="18"/>
        <color theme="8" tint="0.39997558519241921"/>
        <rFont val="Tahoma"/>
        <family val="2"/>
      </rPr>
      <t>ɔ</t>
    </r>
    <r>
      <rPr>
        <sz val="18"/>
        <color theme="8" tint="0.39997558519241921"/>
        <rFont val="Arial"/>
        <family val="2"/>
      </rPr>
      <t>̃]</t>
    </r>
    <phoneticPr fontId="21" type="noConversion"/>
  </si>
  <si>
    <r>
      <t>[</t>
    </r>
    <r>
      <rPr>
        <sz val="18"/>
        <color theme="8" tint="0.39997558519241921"/>
        <rFont val="Noto Serif TC Medium"/>
      </rPr>
      <t>ɔ</t>
    </r>
    <r>
      <rPr>
        <sz val="18"/>
        <color theme="8" tint="0.39997558519241921"/>
        <rFont val="Arial"/>
        <family val="2"/>
      </rPr>
      <t>m]</t>
    </r>
  </si>
  <si>
    <r>
      <t>[</t>
    </r>
    <r>
      <rPr>
        <sz val="18"/>
        <color theme="8" tint="0.39997558519241921"/>
        <rFont val="Noto Serif TC Medium"/>
      </rPr>
      <t>ɔŋ</t>
    </r>
    <r>
      <rPr>
        <sz val="18"/>
        <color theme="8" tint="0.39997558519241921"/>
        <rFont val="Arial"/>
        <family val="2"/>
      </rPr>
      <t>]</t>
    </r>
  </si>
  <si>
    <t>[p̚]</t>
    <phoneticPr fontId="21" type="noConversion"/>
  </si>
  <si>
    <t>[t̚]</t>
    <phoneticPr fontId="21" type="noConversion"/>
  </si>
  <si>
    <t>[k̚]</t>
    <phoneticPr fontId="21" type="noConversion"/>
  </si>
  <si>
    <t>[ʔ]</t>
    <phoneticPr fontId="21" type="noConversion"/>
  </si>
  <si>
    <t>-p</t>
    <phoneticPr fontId="21" type="noConversion"/>
  </si>
  <si>
    <t>-k</t>
  </si>
  <si>
    <t>-t</t>
  </si>
  <si>
    <r>
      <t>-</t>
    </r>
    <r>
      <rPr>
        <sz val="18"/>
        <rFont val="Tahoma"/>
        <family val="2"/>
      </rPr>
      <t>h</t>
    </r>
    <phoneticPr fontId="21" type="noConversion"/>
  </si>
  <si>
    <t>ㆭ</t>
    <phoneticPr fontId="21" type="noConversion"/>
  </si>
  <si>
    <t>[ŋ̍]</t>
    <phoneticPr fontId="21" type="noConversion"/>
  </si>
  <si>
    <t>-ng</t>
    <phoneticPr fontId="21" type="noConversion"/>
  </si>
  <si>
    <t>[n]</t>
    <phoneticPr fontId="21" type="noConversion"/>
  </si>
  <si>
    <t>[ãĩ]</t>
    <phoneticPr fontId="21" type="noConversion"/>
  </si>
  <si>
    <t>[ãũ]</t>
    <phoneticPr fontId="21" type="noConversion"/>
  </si>
  <si>
    <t>'1!qa2wsxeEdDcrRfvyYhn8*iIkoO9(lL,&lt;m0p;:/-uUjJ 43btgz657'</t>
  </si>
  <si>
    <t>@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</si>
</sst>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name val="宋体"/>
    </font>
    <font>
      <sz val="9"/>
      <name val="Noto Sans TC"/>
      <family val="2"/>
      <charset val="136"/>
    </font>
    <font>
      <sz val="18"/>
      <name val="Noto Sans TC"/>
      <family val="2"/>
      <charset val="136"/>
    </font>
    <font>
      <b/>
      <sz val="12"/>
      <color rgb="FFFF0000"/>
      <name val="Arial"/>
      <family val="2"/>
    </font>
    <font>
      <sz val="18"/>
      <color rgb="FF0070C0"/>
      <name val="Noto Serif TC SemiBold"/>
      <family val="1"/>
      <charset val="128"/>
    </font>
    <font>
      <sz val="18"/>
      <name val="Noto Sans TC"/>
      <family val="2"/>
    </font>
    <font>
      <sz val="18"/>
      <color rgb="FFFF0000"/>
      <name val="Arial Narrow"/>
      <family val="2"/>
    </font>
    <font>
      <b/>
      <sz val="1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9"/>
      <name val="BopomofoRuby1909-v1"/>
      <family val="3"/>
      <charset val="136"/>
    </font>
    <font>
      <b/>
      <sz val="18"/>
      <color rgb="FFC00000"/>
      <name val="Noto Sans TC"/>
      <family val="2"/>
    </font>
    <font>
      <b/>
      <sz val="18"/>
      <color rgb="FFFF0000"/>
      <name val="Noto Sans TC"/>
      <family val="2"/>
    </font>
    <font>
      <sz val="18"/>
      <color rgb="FFFF0000"/>
      <name val="Arial"/>
      <family val="2"/>
    </font>
    <font>
      <b/>
      <sz val="18"/>
      <color rgb="FFFF0000"/>
      <name val="Noto Sans TC"/>
      <family val="2"/>
      <charset val="136"/>
    </font>
    <font>
      <sz val="10"/>
      <color rgb="FFFF0000"/>
      <name val="Iansui 094"/>
      <family val="3"/>
      <charset val="136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4"/>
      <name val="Noto Sans TC"/>
      <family val="2"/>
    </font>
    <font>
      <sz val="14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8"/>
      <color rgb="FFFF0000"/>
      <name val="BopomofoRuby1909-v1"/>
      <family val="2"/>
      <charset val="136"/>
    </font>
    <font>
      <sz val="24"/>
      <color rgb="FFFF0000"/>
      <name val="BopomofoRuby1909-v1"/>
      <family val="2"/>
      <charset val="136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sz val="16"/>
      <name val="Noto Serif TC Medium"/>
    </font>
    <font>
      <sz val="16"/>
      <color rgb="FF000000"/>
      <name val="Iansui 094"/>
      <family val="3"/>
      <charset val="136"/>
    </font>
    <font>
      <sz val="16"/>
      <name val="Microsoft JhengHei"/>
      <family val="2"/>
      <charset val="136"/>
    </font>
    <font>
      <sz val="18"/>
      <color theme="8"/>
      <name val="Noto Serif TC Medium"/>
    </font>
    <font>
      <sz val="18"/>
      <name val="Noto Serif TC Medium"/>
    </font>
    <font>
      <sz val="18"/>
      <color rgb="FFFF0000"/>
      <name val="Noto Serif TC Medium"/>
    </font>
    <font>
      <sz val="10"/>
      <color theme="8" tint="0.39997558519241921"/>
      <name val="Noto Serif TC Medium"/>
    </font>
    <font>
      <sz val="16"/>
      <color theme="8" tint="0.39997558519241921"/>
      <name val="Microsoft JhengHei"/>
      <family val="2"/>
      <charset val="136"/>
    </font>
    <font>
      <sz val="18"/>
      <color theme="8" tint="0.39997558519241921"/>
      <name val="Noto Serif TC Medium"/>
    </font>
    <font>
      <sz val="16"/>
      <color theme="8" tint="0.39997558519241921"/>
      <name val="新細明體"/>
      <family val="1"/>
      <charset val="136"/>
      <scheme val="minor"/>
    </font>
    <font>
      <sz val="18"/>
      <color theme="8" tint="0.39997558519241921"/>
      <name val="Tahoma"/>
      <family val="2"/>
    </font>
    <font>
      <sz val="18"/>
      <color theme="8" tint="0.39997558519241921"/>
      <name val="Arial"/>
      <family val="2"/>
    </font>
    <font>
      <sz val="18"/>
      <name val="Tahoma"/>
      <family val="2"/>
    </font>
    <font>
      <sz val="28"/>
      <name val="Iansui 094"/>
      <family val="3"/>
      <charset val="136"/>
    </font>
    <font>
      <sz val="22"/>
      <name val="Iansui 094"/>
      <family val="3"/>
      <charset val="136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</fills>
  <borders count="1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9" fillId="5" borderId="0" xfId="1" applyFont="1" applyFill="1"/>
    <xf numFmtId="0" fontId="10" fillId="5" borderId="0" xfId="1" applyFont="1" applyFill="1"/>
    <xf numFmtId="0" fontId="6" fillId="0" borderId="2" xfId="1" applyFont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12" fillId="6" borderId="5" xfId="1" applyFont="1" applyFill="1" applyBorder="1" applyAlignment="1">
      <alignment horizontal="center"/>
    </xf>
    <xf numFmtId="0" fontId="13" fillId="6" borderId="0" xfId="1" applyFont="1" applyFill="1" applyAlignment="1">
      <alignment horizontal="center"/>
    </xf>
    <xf numFmtId="0" fontId="12" fillId="6" borderId="6" xfId="1" applyFont="1" applyFill="1" applyBorder="1" applyAlignment="1">
      <alignment horizontal="center"/>
    </xf>
    <xf numFmtId="0" fontId="13" fillId="6" borderId="7" xfId="1" applyFont="1" applyFill="1" applyBorder="1" applyAlignment="1">
      <alignment horizontal="center"/>
    </xf>
    <xf numFmtId="0" fontId="14" fillId="0" borderId="0" xfId="1" applyFont="1"/>
    <xf numFmtId="0" fontId="7" fillId="6" borderId="5" xfId="1" applyFont="1" applyFill="1" applyBorder="1" applyAlignment="1">
      <alignment horizontal="center"/>
    </xf>
    <xf numFmtId="0" fontId="7" fillId="6" borderId="0" xfId="1" applyFont="1" applyFill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7" fillId="6" borderId="7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/>
    </xf>
    <xf numFmtId="0" fontId="15" fillId="6" borderId="4" xfId="1" applyFont="1" applyFill="1" applyBorder="1" applyAlignment="1">
      <alignment horizontal="center"/>
    </xf>
    <xf numFmtId="49" fontId="16" fillId="7" borderId="0" xfId="1" applyNumberFormat="1" applyFont="1" applyFill="1"/>
    <xf numFmtId="0" fontId="17" fillId="8" borderId="1" xfId="1" applyFont="1" applyFill="1" applyBorder="1" applyAlignment="1">
      <alignment horizontal="center"/>
    </xf>
    <xf numFmtId="0" fontId="17" fillId="8" borderId="2" xfId="1" applyFont="1" applyFill="1" applyBorder="1" applyAlignment="1">
      <alignment horizontal="center"/>
    </xf>
    <xf numFmtId="0" fontId="17" fillId="0" borderId="0" xfId="1" applyFont="1" applyAlignment="1">
      <alignment horizontal="center"/>
    </xf>
    <xf numFmtId="0" fontId="19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16" fillId="7" borderId="0" xfId="1" applyFont="1" applyFill="1"/>
    <xf numFmtId="0" fontId="22" fillId="0" borderId="0" xfId="1" applyFont="1"/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indent="3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indent="1"/>
    </xf>
    <xf numFmtId="0" fontId="26" fillId="9" borderId="8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/>
    </xf>
    <xf numFmtId="0" fontId="26" fillId="13" borderId="10" xfId="0" applyFont="1" applyFill="1" applyBorder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30" fillId="12" borderId="0" xfId="0" applyFont="1" applyFill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24" fillId="10" borderId="7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3" borderId="7" xfId="0" applyFont="1" applyFill="1" applyBorder="1" applyAlignment="1">
      <alignment horizontal="center" vertical="center"/>
    </xf>
    <xf numFmtId="0" fontId="24" fillId="10" borderId="4" xfId="0" applyFont="1" applyFill="1" applyBorder="1" applyAlignment="1">
      <alignment horizontal="center" vertical="center"/>
    </xf>
    <xf numFmtId="0" fontId="30" fillId="12" borderId="4" xfId="0" applyFont="1" applyFill="1" applyBorder="1" applyAlignment="1">
      <alignment horizontal="center" vertical="center"/>
    </xf>
    <xf numFmtId="0" fontId="30" fillId="13" borderId="4" xfId="0" applyFont="1" applyFill="1" applyBorder="1" applyAlignment="1">
      <alignment horizontal="center" vertical="center"/>
    </xf>
    <xf numFmtId="0" fontId="29" fillId="3" borderId="0" xfId="0" applyFont="1" applyFill="1" applyAlignment="1">
      <alignment horizontal="left" vertical="center" indent="1"/>
    </xf>
    <xf numFmtId="0" fontId="29" fillId="3" borderId="11" xfId="0" applyFont="1" applyFill="1" applyBorder="1" applyAlignment="1">
      <alignment horizontal="left" vertical="center" indent="1"/>
    </xf>
    <xf numFmtId="0" fontId="30" fillId="13" borderId="6" xfId="0" applyFont="1" applyFill="1" applyBorder="1" applyAlignment="1">
      <alignment horizontal="center" vertical="center"/>
    </xf>
    <xf numFmtId="0" fontId="29" fillId="3" borderId="12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center" vertical="center"/>
    </xf>
    <xf numFmtId="0" fontId="29" fillId="3" borderId="13" xfId="0" applyFont="1" applyFill="1" applyBorder="1" applyAlignment="1">
      <alignment horizontal="left" vertical="center" indent="1"/>
    </xf>
    <xf numFmtId="0" fontId="30" fillId="13" borderId="3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left" vertical="center" indent="2"/>
    </xf>
    <xf numFmtId="0" fontId="30" fillId="11" borderId="7" xfId="0" applyFont="1" applyFill="1" applyBorder="1" applyAlignment="1">
      <alignment horizontal="left" vertical="center" indent="2"/>
    </xf>
    <xf numFmtId="0" fontId="30" fillId="11" borderId="4" xfId="0" applyFont="1" applyFill="1" applyBorder="1" applyAlignment="1">
      <alignment horizontal="left" vertical="center" indent="2"/>
    </xf>
    <xf numFmtId="0" fontId="30" fillId="11" borderId="0" xfId="0" quotePrefix="1" applyFont="1" applyFill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left" vertical="center" indent="3"/>
    </xf>
    <xf numFmtId="0" fontId="33" fillId="11" borderId="9" xfId="0" applyFont="1" applyFill="1" applyBorder="1" applyAlignment="1">
      <alignment horizontal="center" vertical="center"/>
    </xf>
    <xf numFmtId="0" fontId="35" fillId="0" borderId="0" xfId="0" applyFont="1"/>
    <xf numFmtId="0" fontId="37" fillId="11" borderId="0" xfId="0" applyFont="1" applyFill="1" applyAlignment="1">
      <alignment horizontal="left" vertical="center" indent="2"/>
    </xf>
    <xf numFmtId="0" fontId="37" fillId="11" borderId="7" xfId="0" applyFont="1" applyFill="1" applyBorder="1" applyAlignment="1">
      <alignment horizontal="left" vertical="center" indent="2"/>
    </xf>
    <xf numFmtId="0" fontId="37" fillId="11" borderId="4" xfId="0" applyFont="1" applyFill="1" applyBorder="1" applyAlignment="1">
      <alignment horizontal="left" vertical="center" indent="2"/>
    </xf>
    <xf numFmtId="0" fontId="37" fillId="11" borderId="0" xfId="0" quotePrefix="1" applyFont="1" applyFill="1" applyAlignment="1">
      <alignment horizontal="left" vertical="center" indent="2"/>
    </xf>
    <xf numFmtId="0" fontId="30" fillId="11" borderId="4" xfId="0" quotePrefix="1" applyFont="1" applyFill="1" applyBorder="1" applyAlignment="1">
      <alignment horizontal="left" vertical="center" indent="2"/>
    </xf>
    <xf numFmtId="0" fontId="30" fillId="11" borderId="7" xfId="0" quotePrefix="1" applyFont="1" applyFill="1" applyBorder="1" applyAlignment="1">
      <alignment horizontal="left" vertical="center" indent="2"/>
    </xf>
    <xf numFmtId="0" fontId="17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7" fillId="2" borderId="0" xfId="1" applyNumberFormat="1" applyFont="1" applyFill="1" applyAlignment="1">
      <alignment horizontal="center"/>
    </xf>
    <xf numFmtId="0" fontId="40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4" fillId="3" borderId="0" xfId="1" quotePrefix="1" applyFont="1" applyFill="1" applyAlignment="1">
      <alignment horizontal="center"/>
    </xf>
  </cellXfs>
  <cellStyles count="2">
    <cellStyle name="一般" xfId="0" builtinId="0"/>
    <cellStyle name="一般 4" xfId="1" xr:uid="{C35B9AD6-B861-4A31-A217-74DDA2AFA6D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Iansui 09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828675</xdr:colOff>
      <xdr:row>12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1C22FC2-C041-7027-C915-2194076F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92106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486F5-39E3-45DE-A424-2402AD85E2DF}" name="表格1_337" displayName="表格1_337" ref="R2:T57" totalsRowShown="0" headerRowDxfId="13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12">
      <calculatedColumnFormula>G3</calculatedColumnFormula>
    </tableColumn>
    <tableColumn id="4" xr3:uid="{8C167905-9D73-4909-8712-255BECFAE41E}" name="字典編碼" dataDxfId="11" dataCellStyle="一般 4">
      <calculatedColumnFormula>F3</calculatedColumnFormula>
    </tableColumn>
    <tableColumn id="2" xr3:uid="{2B39C045-95F3-4942-B538-2A6427E8FFDE}" name="方音符號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447496-224A-4AAE-A97E-1A99A47BD02D}" name="表格1_3374" displayName="表格1_3374" ref="R2:T57" totalsRowShown="0" headerRowDxfId="9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35A30276-2442-4D0C-97B2-3000D54AACC9}" name="鍵盤位置" dataDxfId="8">
      <calculatedColumnFormula>G3</calculatedColumnFormula>
    </tableColumn>
    <tableColumn id="4" xr3:uid="{4662BDF2-D491-4EF1-B17E-0F7E6B73FF49}" name="字典編碼" dataDxfId="7" dataCellStyle="一般 4">
      <calculatedColumnFormula>F3</calculatedColumnFormula>
    </tableColumn>
    <tableColumn id="2" xr3:uid="{E7344833-5310-4AEB-83D9-42BAB6C08A8A}" name="方音符號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6D82F-8548-4653-8A23-ADC94954BE0A}" name="表格1_3373" displayName="表格1_3373" ref="K4:N59" totalsRowShown="0" headerRowDxfId="5" dataDxfId="4">
  <autoFilter ref="K4:N59" xr:uid="{0046D82F-8548-4653-8A23-ADC94954BE0A}"/>
  <sortState xmlns:xlrd2="http://schemas.microsoft.com/office/spreadsheetml/2017/richdata2" ref="K5:N58">
    <sortCondition ref="K5:K58" customList="1,q,a,z,2,w,s,x,e,d,c,r,f,v,t,g,b,y,h,n,u,j,m,8,i,k,9,o,l,.,0,p,;,/,-"/>
  </sortState>
  <tableColumns count="4">
    <tableColumn id="1" xr3:uid="{21D69094-D352-45C2-80FB-BAAB1167765E}" name="鍵盤位置" dataDxfId="3"/>
    <tableColumn id="4" xr3:uid="{149889D9-9B6F-4EE7-B137-5719FAB97256}" name="字典編碼" dataDxfId="2" dataCellStyle="一般 4"/>
    <tableColumn id="2" xr3:uid="{5DA576F5-2521-40F0-A9D3-ABE41A6E8F32}" name="方音符號" dataDxfId="1" dataCellStyle="一般 4"/>
    <tableColumn id="3" xr3:uid="{C8E1D126-07F8-47C6-A899-04D533843525}" name="國際音標" dataDxfId="0" dataCellStyle="一般 4">
      <calculatedColumnFormula xml:space="preserve"> IFERROR( INDEX($E$5:$E$54, MATCH(表格1_3373[[#This Row],[方音符號]], $C$5:$C$54,0)),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094D-EFB8-47FF-83B2-54E9B2FCECE0}">
  <dimension ref="A1"/>
  <sheetViews>
    <sheetView tabSelected="1" workbookViewId="0">
      <selection activeCell="G19" sqref="G19"/>
    </sheetView>
  </sheetViews>
  <sheetFormatPr defaultRowHeight="21"/>
  <sheetData/>
  <phoneticPr fontId="2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0D3-A178-44C5-B583-A8E61EDC9274}">
  <sheetPr>
    <tabColor rgb="FFFF0000"/>
  </sheetPr>
  <dimension ref="A1:X74"/>
  <sheetViews>
    <sheetView topLeftCell="A13" workbookViewId="0">
      <selection activeCell="A25" sqref="A25"/>
    </sheetView>
  </sheetViews>
  <sheetFormatPr defaultRowHeight="30" outlineLevelCol="1"/>
  <cols>
    <col min="1" max="1" width="99.19921875" style="1" customWidth="1"/>
    <col min="2" max="2" width="4.59765625" style="1" bestFit="1" customWidth="1"/>
    <col min="3" max="3" width="6.5" style="1" customWidth="1"/>
    <col min="4" max="4" width="5.09765625" style="1" customWidth="1"/>
    <col min="5" max="5" width="4.69921875" style="1" customWidth="1" outlineLevel="1"/>
    <col min="6" max="7" width="10.09765625" style="3" customWidth="1" outlineLevel="1"/>
    <col min="8" max="8" width="5.09765625" style="1" customWidth="1"/>
    <col min="9" max="9" width="4.69921875" style="1" customWidth="1"/>
    <col min="10" max="10" width="10.09765625" style="4" customWidth="1"/>
    <col min="11" max="11" width="10.09765625" style="3" customWidth="1"/>
    <col min="12" max="12" width="5.09765625" style="1" customWidth="1"/>
    <col min="13" max="13" width="4.69921875" style="1" customWidth="1"/>
    <col min="14" max="14" width="10.09765625" style="1" customWidth="1"/>
    <col min="15" max="15" width="10.09765625" style="2" customWidth="1"/>
    <col min="16" max="16" width="8.796875" style="1"/>
    <col min="17" max="17" width="4.69921875" style="1" customWidth="1"/>
    <col min="18" max="21" width="9.796875" style="1" customWidth="1"/>
    <col min="22" max="22" width="9.796875" customWidth="1"/>
    <col min="23" max="23" width="11.796875" style="1" customWidth="1"/>
    <col min="24" max="26" width="10.3984375" style="1" customWidth="1"/>
    <col min="27" max="16384" width="8.796875" style="1"/>
  </cols>
  <sheetData>
    <row r="1" spans="1:24">
      <c r="A1" s="22" t="s">
        <v>97</v>
      </c>
      <c r="E1" s="22" t="s">
        <v>96</v>
      </c>
      <c r="I1" s="22" t="s">
        <v>70</v>
      </c>
      <c r="M1" s="22" t="s">
        <v>95</v>
      </c>
      <c r="Q1" s="36" t="s">
        <v>94</v>
      </c>
      <c r="V1" s="1"/>
    </row>
    <row r="2" spans="1:24" ht="25.5">
      <c r="A2" s="35" t="s">
        <v>93</v>
      </c>
      <c r="F2" s="34" t="s">
        <v>90</v>
      </c>
      <c r="G2" s="33" t="s">
        <v>92</v>
      </c>
      <c r="J2" s="34" t="s">
        <v>92</v>
      </c>
      <c r="K2" s="33" t="s">
        <v>91</v>
      </c>
      <c r="N2" s="34" t="s">
        <v>90</v>
      </c>
      <c r="O2" s="33" t="s">
        <v>89</v>
      </c>
      <c r="R2" s="32" t="s">
        <v>88</v>
      </c>
      <c r="S2" s="32" t="s">
        <v>87</v>
      </c>
      <c r="T2" s="32" t="s">
        <v>86</v>
      </c>
      <c r="V2" s="31" t="s">
        <v>86</v>
      </c>
      <c r="W2" s="31" t="s">
        <v>85</v>
      </c>
      <c r="X2" s="30" t="s">
        <v>84</v>
      </c>
    </row>
    <row r="3" spans="1:24">
      <c r="A3" s="1">
        <f xml:space="preserve"> SEARCH("|",$A$2,1)</f>
        <v>9</v>
      </c>
      <c r="E3" s="1" cm="1">
        <f t="array" ref="E3" xml:space="preserve"> ROW() - ROW($2:$2)</f>
        <v>1</v>
      </c>
      <c r="F3" s="26" t="str">
        <f t="shared" ref="F3:F34" si="0" xml:space="preserve"> IFERROR( MID($A$6, $E3, 1), "")</f>
        <v>p</v>
      </c>
      <c r="G3" s="25" t="str">
        <f t="shared" ref="G3:G34" si="1" xml:space="preserve"> IFERROR( MID($A$7, $E3, 1), "")</f>
        <v>1</v>
      </c>
      <c r="I3" s="1">
        <v>1</v>
      </c>
      <c r="J3" s="83" t="str">
        <f t="shared" ref="J3:J34" si="2" xml:space="preserve"> IFERROR( MID($A$15, $E3, 1), "")</f>
        <v>1</v>
      </c>
      <c r="K3" s="7" t="str">
        <f t="shared" ref="K3:K34" si="3" xml:space="preserve"> IFERROR( MID($A$16, $E3, 1), "")</f>
        <v>ㄅ</v>
      </c>
      <c r="M3" s="1">
        <v>1</v>
      </c>
      <c r="N3" s="12" t="str">
        <f t="shared" ref="N3:N44" si="4" xml:space="preserve"> IFERROR( MID($A$21, $E3, 1), "")</f>
        <v>-</v>
      </c>
      <c r="O3" s="12" t="str">
        <f t="shared" ref="O3:O44" si="5" xml:space="preserve"> IFERROR( MID($A$22, $E3, 1), "")</f>
        <v>8</v>
      </c>
      <c r="Q3" s="1">
        <v>1</v>
      </c>
      <c r="R3" s="2" t="str">
        <f>G3</f>
        <v>1</v>
      </c>
      <c r="S3" s="6" t="str">
        <f t="shared" ref="S3:S34" si="6">F3</f>
        <v>p</v>
      </c>
      <c r="T3" s="84" t="s">
        <v>101</v>
      </c>
      <c r="V3" s="11" t="str">
        <f xml:space="preserve"> INDEX($K$3:$K$44, MATCH(表格1_337[[#This Row],[鍵盤位置]], $J$3:$J$44,0))</f>
        <v>ㄅ</v>
      </c>
      <c r="W3" s="15" t="s">
        <v>83</v>
      </c>
      <c r="X3" s="9" t="s">
        <v>82</v>
      </c>
    </row>
    <row r="4" spans="1:24">
      <c r="A4" s="1">
        <f xml:space="preserve"> SEARCH("|",$A$2,A3+1)</f>
        <v>65</v>
      </c>
      <c r="E4" s="1" cm="1">
        <f t="array" ref="E4" xml:space="preserve"> ROW() - ROW($2:$2)</f>
        <v>2</v>
      </c>
      <c r="F4" s="24" t="str">
        <f t="shared" si="0"/>
        <v>b</v>
      </c>
      <c r="G4" s="23" t="str">
        <f t="shared" si="1"/>
        <v>!</v>
      </c>
      <c r="I4" s="1">
        <v>2</v>
      </c>
      <c r="J4" s="83" t="str">
        <f t="shared" si="2"/>
        <v>!</v>
      </c>
      <c r="K4" s="7" t="str">
        <f t="shared" si="3"/>
        <v>ㆠ</v>
      </c>
      <c r="M4" s="1">
        <v>2</v>
      </c>
      <c r="N4" s="12" t="str">
        <f t="shared" si="4"/>
        <v xml:space="preserve"> </v>
      </c>
      <c r="O4" s="12" t="str">
        <f t="shared" si="5"/>
        <v/>
      </c>
      <c r="Q4" s="1">
        <v>2</v>
      </c>
      <c r="R4" s="2" t="str">
        <f t="shared" ref="R4:R34" si="7">G4</f>
        <v>!</v>
      </c>
      <c r="S4" s="6" t="str">
        <f t="shared" si="6"/>
        <v>b</v>
      </c>
      <c r="T4" s="84" t="s">
        <v>105</v>
      </c>
      <c r="V4" s="11" t="str">
        <f xml:space="preserve"> INDEX($K$3:$K$44, MATCH(表格1_337[[#This Row],[鍵盤位置]], $J$3:$J$44,0))</f>
        <v>ㆠ</v>
      </c>
      <c r="W4" s="15" t="s">
        <v>81</v>
      </c>
      <c r="X4" s="9" t="s">
        <v>80</v>
      </c>
    </row>
    <row r="5" spans="1:24">
      <c r="A5" s="1">
        <f xml:space="preserve"> SEARCH("|",$A$2,A4+1)</f>
        <v>121</v>
      </c>
      <c r="E5" s="1" cm="1">
        <f t="array" ref="E5" xml:space="preserve"> ROW() - ROW($2:$2)</f>
        <v>3</v>
      </c>
      <c r="F5" s="24" t="str">
        <f t="shared" si="0"/>
        <v>P</v>
      </c>
      <c r="G5" s="23" t="str">
        <f t="shared" si="1"/>
        <v>q</v>
      </c>
      <c r="I5" s="1">
        <v>3</v>
      </c>
      <c r="J5" s="83" t="str">
        <f t="shared" si="2"/>
        <v>q</v>
      </c>
      <c r="K5" s="7" t="str">
        <f t="shared" si="3"/>
        <v>ㄆ</v>
      </c>
      <c r="M5" s="1">
        <v>3</v>
      </c>
      <c r="N5" s="12" t="str">
        <f t="shared" si="4"/>
        <v>"</v>
      </c>
      <c r="O5" s="12" t="str">
        <f t="shared" si="5"/>
        <v/>
      </c>
      <c r="Q5" s="1">
        <v>3</v>
      </c>
      <c r="R5" s="2" t="str">
        <f t="shared" si="7"/>
        <v>q</v>
      </c>
      <c r="S5" s="6" t="str">
        <f t="shared" si="6"/>
        <v>P</v>
      </c>
      <c r="T5" s="84" t="s">
        <v>102</v>
      </c>
      <c r="V5" s="11" t="str">
        <f xml:space="preserve"> INDEX($K$3:$K$44, MATCH(表格1_337[[#This Row],[鍵盤位置]], $J$3:$J$44,0))</f>
        <v>ㄆ</v>
      </c>
      <c r="W5" s="15" t="s">
        <v>37</v>
      </c>
      <c r="X5" s="9" t="s">
        <v>79</v>
      </c>
    </row>
    <row r="6" spans="1:24">
      <c r="A6" s="14" t="str">
        <f xml:space="preserve"> MID($A$2,A3+1, A4-A3-1)</f>
        <v>pbPmtTnlkgKGhZJCSzjcsaAOQoeEyYxX{}M0N[]RriIuU1239&gt;&lt;4578</v>
      </c>
      <c r="B6" s="13">
        <f xml:space="preserve"> LEN(A6)</f>
        <v>55</v>
      </c>
      <c r="E6" s="1" cm="1">
        <f t="array" ref="E6" xml:space="preserve"> ROW() - ROW($2:$2)</f>
        <v>4</v>
      </c>
      <c r="F6" s="17" t="str">
        <f t="shared" si="0"/>
        <v>m</v>
      </c>
      <c r="G6" s="16" t="str">
        <f t="shared" si="1"/>
        <v>a</v>
      </c>
      <c r="I6" s="1">
        <v>4</v>
      </c>
      <c r="J6" s="83" t="str">
        <f t="shared" si="2"/>
        <v>a</v>
      </c>
      <c r="K6" s="7" t="str">
        <f t="shared" si="3"/>
        <v>ㄇ</v>
      </c>
      <c r="M6" s="1">
        <v>4</v>
      </c>
      <c r="N6" s="12" t="str">
        <f t="shared" si="4"/>
        <v>x</v>
      </c>
      <c r="O6" s="12" t="str">
        <f t="shared" si="5"/>
        <v/>
      </c>
      <c r="Q6" s="1">
        <v>4</v>
      </c>
      <c r="R6" s="2" t="str">
        <f t="shared" si="7"/>
        <v>a</v>
      </c>
      <c r="S6" s="6" t="str">
        <f t="shared" si="6"/>
        <v>m</v>
      </c>
      <c r="T6" s="84" t="s">
        <v>107</v>
      </c>
      <c r="V6" s="11" t="str">
        <f xml:space="preserve"> INDEX($K$3:$K$44, MATCH(表格1_337[[#This Row],[鍵盤位置]], $J$3:$J$44,0))</f>
        <v>ㄇ</v>
      </c>
      <c r="W6" s="15" t="s">
        <v>78</v>
      </c>
      <c r="X6" s="9" t="s">
        <v>77</v>
      </c>
    </row>
    <row r="7" spans="1:24">
      <c r="A7" s="14" t="str">
        <f xml:space="preserve"> MID($A$2,A4+1, A5-A4-1)</f>
        <v>1!qa2wsxeEdDcrRfvyYhn8*iIkoO9(lL,&lt;m0p;:/-uUjJ 43btgz657</v>
      </c>
      <c r="B7" s="13">
        <f xml:space="preserve"> LEN(A7)</f>
        <v>55</v>
      </c>
      <c r="E7" s="1" cm="1">
        <f t="array" ref="E7" xml:space="preserve"> ROW() - ROW($2:$2)</f>
        <v>5</v>
      </c>
      <c r="F7" s="24" t="str">
        <f t="shared" si="0"/>
        <v>t</v>
      </c>
      <c r="G7" s="23" t="str">
        <f t="shared" si="1"/>
        <v>2</v>
      </c>
      <c r="I7" s="1">
        <v>5</v>
      </c>
      <c r="J7" s="83" t="str">
        <f t="shared" si="2"/>
        <v>2</v>
      </c>
      <c r="K7" s="7" t="str">
        <f t="shared" si="3"/>
        <v>ㄉ</v>
      </c>
      <c r="M7" s="1">
        <v>5</v>
      </c>
      <c r="N7" s="12" t="str">
        <f t="shared" si="4"/>
        <v>l</v>
      </c>
      <c r="O7" s="12" t="str">
        <f t="shared" si="5"/>
        <v/>
      </c>
      <c r="Q7" s="1">
        <v>5</v>
      </c>
      <c r="R7" s="2" t="str">
        <f t="shared" si="7"/>
        <v>2</v>
      </c>
      <c r="S7" s="6" t="str">
        <f t="shared" si="6"/>
        <v>t</v>
      </c>
      <c r="T7" s="84" t="s">
        <v>108</v>
      </c>
      <c r="V7" s="11" t="str">
        <f xml:space="preserve"> INDEX($K$3:$K$44, MATCH(表格1_337[[#This Row],[鍵盤位置]], $J$3:$J$44,0))</f>
        <v>ㄉ</v>
      </c>
      <c r="W7" s="15" t="s">
        <v>76</v>
      </c>
      <c r="X7" s="9" t="s">
        <v>75</v>
      </c>
    </row>
    <row r="8" spans="1:24">
      <c r="E8" s="1" cm="1">
        <f t="array" ref="E8" xml:space="preserve"> ROW() - ROW($2:$2)</f>
        <v>6</v>
      </c>
      <c r="F8" s="24" t="str">
        <f t="shared" si="0"/>
        <v>T</v>
      </c>
      <c r="G8" s="23" t="str">
        <f t="shared" si="1"/>
        <v>w</v>
      </c>
      <c r="I8" s="1">
        <v>6</v>
      </c>
      <c r="J8" s="83" t="str">
        <f t="shared" si="2"/>
        <v>w</v>
      </c>
      <c r="K8" s="7" t="str">
        <f t="shared" si="3"/>
        <v>ㄊ</v>
      </c>
      <c r="M8" s="1">
        <v>6</v>
      </c>
      <c r="N8" s="12" t="str">
        <f t="shared" si="4"/>
        <v>i</v>
      </c>
      <c r="O8" s="12" t="str">
        <f t="shared" si="5"/>
        <v/>
      </c>
      <c r="Q8" s="1">
        <v>6</v>
      </c>
      <c r="R8" s="2" t="str">
        <f t="shared" si="7"/>
        <v>w</v>
      </c>
      <c r="S8" s="6" t="str">
        <f t="shared" si="6"/>
        <v>T</v>
      </c>
      <c r="T8" s="84" t="s">
        <v>109</v>
      </c>
      <c r="V8" s="11" t="str">
        <f xml:space="preserve"> INDEX($K$3:$K$44, MATCH(表格1_337[[#This Row],[鍵盤位置]], $J$3:$J$44,0))</f>
        <v>ㄊ</v>
      </c>
      <c r="W8" s="15" t="s">
        <v>74</v>
      </c>
      <c r="X8" s="9" t="s">
        <v>73</v>
      </c>
    </row>
    <row r="9" spans="1:24">
      <c r="E9" s="1" cm="1">
        <f t="array" ref="E9" xml:space="preserve"> ROW() - ROW($2:$2)</f>
        <v>7</v>
      </c>
      <c r="F9" s="24" t="str">
        <f t="shared" si="0"/>
        <v>n</v>
      </c>
      <c r="G9" s="23" t="str">
        <f t="shared" si="1"/>
        <v>s</v>
      </c>
      <c r="I9" s="1">
        <v>7</v>
      </c>
      <c r="J9" s="83" t="str">
        <f t="shared" si="2"/>
        <v>s</v>
      </c>
      <c r="K9" s="7" t="str">
        <f t="shared" si="3"/>
        <v>ㄋ</v>
      </c>
      <c r="M9" s="1">
        <v>7</v>
      </c>
      <c r="N9" s="12" t="str">
        <f t="shared" si="4"/>
        <v>t</v>
      </c>
      <c r="O9" s="12" t="str">
        <f t="shared" si="5"/>
        <v/>
      </c>
      <c r="Q9" s="1">
        <v>7</v>
      </c>
      <c r="R9" s="2" t="str">
        <f t="shared" si="7"/>
        <v>s</v>
      </c>
      <c r="S9" s="6" t="str">
        <f t="shared" si="6"/>
        <v>n</v>
      </c>
      <c r="T9" s="84" t="s">
        <v>112</v>
      </c>
      <c r="V9" s="11" t="str">
        <f xml:space="preserve"> INDEX($K$3:$K$44, MATCH(表格1_337[[#This Row],[鍵盤位置]], $J$3:$J$44,0))</f>
        <v>ㄋ</v>
      </c>
      <c r="W9" s="15" t="s">
        <v>72</v>
      </c>
      <c r="X9" s="9" t="s">
        <v>71</v>
      </c>
    </row>
    <row r="10" spans="1:24">
      <c r="A10" s="22" t="s">
        <v>70</v>
      </c>
      <c r="E10" s="1" cm="1">
        <f t="array" ref="E10" xml:space="preserve"> ROW() - ROW($2:$2)</f>
        <v>8</v>
      </c>
      <c r="F10" s="28" t="str">
        <f t="shared" si="0"/>
        <v>l</v>
      </c>
      <c r="G10" s="27" t="str">
        <f t="shared" si="1"/>
        <v>x</v>
      </c>
      <c r="I10" s="1">
        <v>8</v>
      </c>
      <c r="J10" s="83" t="str">
        <f t="shared" si="2"/>
        <v>x</v>
      </c>
      <c r="K10" s="7" t="str">
        <f t="shared" si="3"/>
        <v>ㄌ</v>
      </c>
      <c r="M10" s="1">
        <v>8</v>
      </c>
      <c r="N10" s="12" t="str">
        <f t="shared" si="4"/>
        <v>|</v>
      </c>
      <c r="O10" s="12" t="str">
        <f t="shared" si="5"/>
        <v/>
      </c>
      <c r="Q10" s="1">
        <v>8</v>
      </c>
      <c r="R10" s="2" t="str">
        <f t="shared" si="7"/>
        <v>x</v>
      </c>
      <c r="S10" s="6" t="str">
        <f t="shared" si="6"/>
        <v>l</v>
      </c>
      <c r="T10" s="84" t="s">
        <v>113</v>
      </c>
      <c r="V10" s="11" t="str">
        <f xml:space="preserve"> INDEX($K$3:$K$44, MATCH(表格1_337[[#This Row],[鍵盤位置]], $J$3:$J$44,0))</f>
        <v>ㄌ</v>
      </c>
      <c r="W10" s="15" t="s">
        <v>69</v>
      </c>
      <c r="X10" s="9" t="s">
        <v>68</v>
      </c>
    </row>
    <row r="11" spans="1:24">
      <c r="A11" s="29" t="s">
        <v>67</v>
      </c>
      <c r="E11" s="1" cm="1">
        <f t="array" ref="E11" xml:space="preserve"> ROW() - ROW($2:$2)</f>
        <v>9</v>
      </c>
      <c r="F11" s="26" t="str">
        <f t="shared" si="0"/>
        <v>k</v>
      </c>
      <c r="G11" s="25" t="str">
        <f t="shared" si="1"/>
        <v>e</v>
      </c>
      <c r="I11" s="1">
        <v>9</v>
      </c>
      <c r="J11" s="83" t="str">
        <f t="shared" si="2"/>
        <v>e</v>
      </c>
      <c r="K11" s="7" t="str">
        <f t="shared" si="3"/>
        <v>ㄍ</v>
      </c>
      <c r="M11" s="1">
        <v>9</v>
      </c>
      <c r="N11" s="12" t="str">
        <f t="shared" si="4"/>
        <v>1</v>
      </c>
      <c r="O11" s="12" t="str">
        <f t="shared" si="5"/>
        <v/>
      </c>
      <c r="Q11" s="1">
        <v>9</v>
      </c>
      <c r="R11" s="2" t="str">
        <f t="shared" si="7"/>
        <v>e</v>
      </c>
      <c r="S11" s="6" t="str">
        <f t="shared" si="6"/>
        <v>k</v>
      </c>
      <c r="T11" s="84" t="s">
        <v>115</v>
      </c>
      <c r="V11" s="11" t="str">
        <f xml:space="preserve"> INDEX($K$3:$K$44, MATCH(表格1_337[[#This Row],[鍵盤位置]], $J$3:$J$44,0))</f>
        <v>ㄍ</v>
      </c>
      <c r="W11" s="15" t="s">
        <v>66</v>
      </c>
      <c r="X11" s="9" t="s">
        <v>65</v>
      </c>
    </row>
    <row r="12" spans="1:24">
      <c r="A12" s="1">
        <f xml:space="preserve"> SEARCH("|",$A$11,1)</f>
        <v>8</v>
      </c>
      <c r="E12" s="1" cm="1">
        <f t="array" ref="E12" xml:space="preserve"> ROW() - ROW($2:$2)</f>
        <v>10</v>
      </c>
      <c r="F12" s="24" t="str">
        <f t="shared" si="0"/>
        <v>g</v>
      </c>
      <c r="G12" s="23" t="str">
        <f t="shared" si="1"/>
        <v>E</v>
      </c>
      <c r="I12" s="1">
        <v>10</v>
      </c>
      <c r="J12" s="83" t="str">
        <f t="shared" si="2"/>
        <v>E</v>
      </c>
      <c r="K12" s="7" t="str">
        <f t="shared" si="3"/>
        <v>ㆣ</v>
      </c>
      <c r="M12" s="1">
        <v>10</v>
      </c>
      <c r="N12" s="12" t="str">
        <f t="shared" si="4"/>
        <v>!</v>
      </c>
      <c r="O12" s="12" t="str">
        <f t="shared" si="5"/>
        <v/>
      </c>
      <c r="Q12" s="1">
        <v>10</v>
      </c>
      <c r="R12" s="2" t="str">
        <f t="shared" si="7"/>
        <v>E</v>
      </c>
      <c r="S12" s="6" t="str">
        <f t="shared" si="6"/>
        <v>g</v>
      </c>
      <c r="T12" s="84" t="s">
        <v>119</v>
      </c>
      <c r="V12" s="11" t="str">
        <f xml:space="preserve"> INDEX($K$3:$K$44, MATCH(表格1_337[[#This Row],[鍵盤位置]], $J$3:$J$44,0))</f>
        <v>ㄍ</v>
      </c>
      <c r="W12" s="15" t="s">
        <v>64</v>
      </c>
      <c r="X12" s="9" t="s">
        <v>63</v>
      </c>
    </row>
    <row r="13" spans="1:24">
      <c r="A13" s="1">
        <f xml:space="preserve"> SEARCH("|",$A$11,A12+1)</f>
        <v>64</v>
      </c>
      <c r="E13" s="1" cm="1">
        <f t="array" ref="E13" xml:space="preserve"> ROW() - ROW($2:$2)</f>
        <v>11</v>
      </c>
      <c r="F13" s="28" t="str">
        <f t="shared" si="0"/>
        <v>K</v>
      </c>
      <c r="G13" s="27" t="str">
        <f t="shared" si="1"/>
        <v>d</v>
      </c>
      <c r="I13" s="1">
        <v>11</v>
      </c>
      <c r="J13" s="83" t="str">
        <f t="shared" si="2"/>
        <v>d</v>
      </c>
      <c r="K13" s="7" t="str">
        <f t="shared" si="3"/>
        <v>ㄎ</v>
      </c>
      <c r="M13" s="1">
        <v>11</v>
      </c>
      <c r="N13" s="12" t="str">
        <f t="shared" si="4"/>
        <v>q</v>
      </c>
      <c r="O13" s="12" t="str">
        <f t="shared" si="5"/>
        <v/>
      </c>
      <c r="Q13" s="1">
        <v>11</v>
      </c>
      <c r="R13" s="2" t="str">
        <f t="shared" si="7"/>
        <v>d</v>
      </c>
      <c r="S13" s="6" t="str">
        <f t="shared" si="6"/>
        <v>K</v>
      </c>
      <c r="T13" s="84" t="s">
        <v>116</v>
      </c>
      <c r="V13" s="11" t="str">
        <f xml:space="preserve"> INDEX($K$3:$K$44, MATCH(表格1_337[[#This Row],[鍵盤位置]], $J$3:$J$44,0))</f>
        <v>ㄎ</v>
      </c>
      <c r="W13" s="15" t="s">
        <v>62</v>
      </c>
      <c r="X13" s="9" t="s">
        <v>61</v>
      </c>
    </row>
    <row r="14" spans="1:24">
      <c r="A14" s="1">
        <f xml:space="preserve"> SEARCH("|",$A$11,A13+1)</f>
        <v>120</v>
      </c>
      <c r="E14" s="1" cm="1">
        <f t="array" ref="E14" xml:space="preserve"> ROW() - ROW($2:$2)</f>
        <v>12</v>
      </c>
      <c r="F14" s="26" t="str">
        <f t="shared" si="0"/>
        <v>G</v>
      </c>
      <c r="G14" s="25" t="str">
        <f t="shared" si="1"/>
        <v>D</v>
      </c>
      <c r="I14" s="1">
        <v>12</v>
      </c>
      <c r="J14" s="83" t="str">
        <f t="shared" si="2"/>
        <v>D</v>
      </c>
      <c r="K14" s="7" t="str">
        <f t="shared" si="3"/>
        <v>ㄫ</v>
      </c>
      <c r="M14" s="1">
        <v>12</v>
      </c>
      <c r="N14" s="12" t="str">
        <f t="shared" si="4"/>
        <v>a</v>
      </c>
      <c r="O14" s="12" t="str">
        <f t="shared" si="5"/>
        <v/>
      </c>
      <c r="Q14" s="1">
        <v>12</v>
      </c>
      <c r="R14" s="2" t="str">
        <f t="shared" si="7"/>
        <v>D</v>
      </c>
      <c r="S14" s="6" t="str">
        <f t="shared" si="6"/>
        <v>G</v>
      </c>
      <c r="T14" s="84" t="s">
        <v>121</v>
      </c>
      <c r="V14" s="11" t="str">
        <f xml:space="preserve"> INDEX($K$3:$K$44, MATCH(表格1_337[[#This Row],[鍵盤位置]], $J$3:$J$44,0))</f>
        <v>ㄎ</v>
      </c>
      <c r="W14" s="15" t="s">
        <v>60</v>
      </c>
      <c r="X14" s="9" t="s">
        <v>59</v>
      </c>
    </row>
    <row r="15" spans="1:24">
      <c r="A15" s="14" t="str">
        <f xml:space="preserve"> MID($A$11,A12+1, A13-A12-1)</f>
        <v>1!qa2wsxeEdDcrRfvyYhn8*iIkoO9(lL,&lt;m0p;:/-uUjJ 43btgz657</v>
      </c>
      <c r="B15" s="13">
        <f xml:space="preserve"> LEN(A15)</f>
        <v>55</v>
      </c>
      <c r="E15" s="1" cm="1">
        <f t="array" ref="E15" xml:space="preserve"> ROW() - ROW($2:$2)</f>
        <v>13</v>
      </c>
      <c r="F15" s="24" t="str">
        <f t="shared" si="0"/>
        <v>h</v>
      </c>
      <c r="G15" s="23" t="str">
        <f t="shared" si="1"/>
        <v>c</v>
      </c>
      <c r="I15" s="1">
        <v>13</v>
      </c>
      <c r="J15" s="83" t="str">
        <f t="shared" si="2"/>
        <v>c</v>
      </c>
      <c r="K15" s="7" t="str">
        <f t="shared" si="3"/>
        <v>ㄏ</v>
      </c>
      <c r="M15" s="1">
        <v>13</v>
      </c>
      <c r="N15" s="12" t="str">
        <f t="shared" si="4"/>
        <v>2</v>
      </c>
      <c r="O15" s="12" t="str">
        <f t="shared" si="5"/>
        <v/>
      </c>
      <c r="Q15" s="1">
        <v>13</v>
      </c>
      <c r="R15" s="2" t="str">
        <f t="shared" si="7"/>
        <v>c</v>
      </c>
      <c r="S15" s="6" t="str">
        <f t="shared" si="6"/>
        <v>h</v>
      </c>
      <c r="T15" s="84" t="s">
        <v>133</v>
      </c>
      <c r="V15" s="11" t="str">
        <f xml:space="preserve"> INDEX($K$3:$K$44, MATCH(表格1_337[[#This Row],[鍵盤位置]], $J$3:$J$44,0))</f>
        <v>ㄏ</v>
      </c>
      <c r="W15" s="15" t="s">
        <v>58</v>
      </c>
      <c r="X15" s="9" t="s">
        <v>57</v>
      </c>
    </row>
    <row r="16" spans="1:24">
      <c r="A16" s="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13">
        <f xml:space="preserve"> LEN(A16)</f>
        <v>55</v>
      </c>
      <c r="E16" s="1" cm="1">
        <f t="array" ref="E16" xml:space="preserve"> ROW() - ROW($2:$2)</f>
        <v>14</v>
      </c>
      <c r="F16" s="17" t="str">
        <f t="shared" si="0"/>
        <v>Z</v>
      </c>
      <c r="G16" s="16" t="str">
        <f t="shared" si="1"/>
        <v>r</v>
      </c>
      <c r="I16" s="1">
        <v>14</v>
      </c>
      <c r="J16" s="83" t="str">
        <f t="shared" si="2"/>
        <v>r</v>
      </c>
      <c r="K16" s="7" t="str">
        <f t="shared" si="3"/>
        <v>ㄐ</v>
      </c>
      <c r="M16" s="1">
        <v>14</v>
      </c>
      <c r="N16" s="12" t="str">
        <f t="shared" si="4"/>
        <v>w</v>
      </c>
      <c r="O16" s="12" t="str">
        <f t="shared" si="5"/>
        <v/>
      </c>
      <c r="Q16" s="1">
        <v>14</v>
      </c>
      <c r="R16" s="2" t="str">
        <f t="shared" si="7"/>
        <v>r</v>
      </c>
      <c r="S16" s="6" t="str">
        <f t="shared" si="6"/>
        <v>Z</v>
      </c>
      <c r="T16" s="84" t="s">
        <v>190</v>
      </c>
      <c r="V16" s="11" t="str">
        <f xml:space="preserve"> INDEX($K$3:$K$44, MATCH(表格1_337[[#This Row],[鍵盤位置]], $J$3:$J$44,0))</f>
        <v>ㄐ</v>
      </c>
      <c r="W16" s="15" t="s">
        <v>56</v>
      </c>
      <c r="X16" s="9" t="s">
        <v>55</v>
      </c>
    </row>
    <row r="17" spans="1:24">
      <c r="E17" s="1" cm="1">
        <f t="array" ref="E17" xml:space="preserve"> ROW() - ROW($2:$2)</f>
        <v>15</v>
      </c>
      <c r="F17" s="26" t="str">
        <f t="shared" si="0"/>
        <v>J</v>
      </c>
      <c r="G17" s="25" t="str">
        <f t="shared" si="1"/>
        <v>R</v>
      </c>
      <c r="I17" s="1">
        <v>15</v>
      </c>
      <c r="J17" s="83" t="str">
        <f t="shared" si="2"/>
        <v>R</v>
      </c>
      <c r="K17" s="7" t="str">
        <f t="shared" si="3"/>
        <v>ㆢ</v>
      </c>
      <c r="M17" s="1">
        <v>15</v>
      </c>
      <c r="N17" s="12" t="str">
        <f t="shared" si="4"/>
        <v>s</v>
      </c>
      <c r="O17" s="12" t="str">
        <f t="shared" si="5"/>
        <v/>
      </c>
      <c r="Q17" s="1">
        <v>15</v>
      </c>
      <c r="R17" s="2" t="str">
        <f t="shared" si="7"/>
        <v>R</v>
      </c>
      <c r="S17" s="6" t="str">
        <f t="shared" si="6"/>
        <v>J</v>
      </c>
      <c r="T17" s="84" t="s">
        <v>192</v>
      </c>
      <c r="V17" s="11" t="str">
        <f xml:space="preserve"> INDEX($K$3:$K$44, MATCH(表格1_337[[#This Row],[鍵盤位置]], $J$3:$J$44,0))</f>
        <v>ㄐ</v>
      </c>
      <c r="W17" s="15" t="s">
        <v>54</v>
      </c>
      <c r="X17" s="9" t="s">
        <v>53</v>
      </c>
    </row>
    <row r="18" spans="1:24">
      <c r="E18" s="1" cm="1">
        <f t="array" ref="E18" xml:space="preserve"> ROW() - ROW($2:$2)</f>
        <v>16</v>
      </c>
      <c r="F18" s="24" t="str">
        <f t="shared" si="0"/>
        <v>C</v>
      </c>
      <c r="G18" s="23" t="str">
        <f t="shared" si="1"/>
        <v>f</v>
      </c>
      <c r="I18" s="1">
        <v>16</v>
      </c>
      <c r="J18" s="83" t="str">
        <f t="shared" si="2"/>
        <v>f</v>
      </c>
      <c r="K18" s="7" t="str">
        <f t="shared" si="3"/>
        <v>ㄑ</v>
      </c>
      <c r="M18" s="1">
        <v>16</v>
      </c>
      <c r="N18" s="12" t="str">
        <f t="shared" si="4"/>
        <v>x</v>
      </c>
      <c r="O18" s="12" t="str">
        <f t="shared" si="5"/>
        <v/>
      </c>
      <c r="Q18" s="1">
        <v>16</v>
      </c>
      <c r="R18" s="2" t="str">
        <f t="shared" si="7"/>
        <v>f</v>
      </c>
      <c r="S18" s="6" t="str">
        <f t="shared" si="6"/>
        <v>C</v>
      </c>
      <c r="T18" s="84" t="s">
        <v>191</v>
      </c>
      <c r="V18" s="11" t="str">
        <f xml:space="preserve"> INDEX($K$3:$K$44, MATCH(表格1_337[[#This Row],[鍵盤位置]], $J$3:$J$44,0))</f>
        <v>ㄑ</v>
      </c>
      <c r="W18" s="15" t="s">
        <v>13</v>
      </c>
      <c r="X18" s="9" t="s">
        <v>52</v>
      </c>
    </row>
    <row r="19" spans="1:24">
      <c r="E19" s="1" cm="1">
        <f t="array" ref="E19" xml:space="preserve"> ROW() - ROW($2:$2)</f>
        <v>17</v>
      </c>
      <c r="F19" s="17" t="str">
        <f t="shared" si="0"/>
        <v>S</v>
      </c>
      <c r="G19" s="16" t="str">
        <f t="shared" si="1"/>
        <v>v</v>
      </c>
      <c r="I19" s="1">
        <v>17</v>
      </c>
      <c r="J19" s="83" t="str">
        <f t="shared" si="2"/>
        <v>v</v>
      </c>
      <c r="K19" s="7" t="str">
        <f t="shared" si="3"/>
        <v>ㄒ</v>
      </c>
      <c r="M19" s="1">
        <v>17</v>
      </c>
      <c r="N19" s="12" t="str">
        <f t="shared" si="4"/>
        <v>e</v>
      </c>
      <c r="O19" s="12" t="str">
        <f t="shared" si="5"/>
        <v/>
      </c>
      <c r="Q19" s="1">
        <v>17</v>
      </c>
      <c r="R19" s="2" t="str">
        <f t="shared" si="7"/>
        <v>v</v>
      </c>
      <c r="S19" s="6" t="str">
        <f t="shared" si="6"/>
        <v>S</v>
      </c>
      <c r="T19" s="84" t="s">
        <v>193</v>
      </c>
      <c r="V19" s="11" t="str">
        <f xml:space="preserve"> INDEX($K$3:$K$44, MATCH(表格1_337[[#This Row],[鍵盤位置]], $J$3:$J$44,0))</f>
        <v>ㄒ</v>
      </c>
      <c r="W19" s="15" t="s">
        <v>49</v>
      </c>
      <c r="X19" s="9" t="s">
        <v>51</v>
      </c>
    </row>
    <row r="20" spans="1:24">
      <c r="A20" s="22" t="s">
        <v>50</v>
      </c>
      <c r="E20" s="1" cm="1">
        <f t="array" ref="E20" xml:space="preserve"> ROW() - ROW($2:$2)</f>
        <v>18</v>
      </c>
      <c r="F20" s="21" t="str">
        <f t="shared" si="0"/>
        <v>z</v>
      </c>
      <c r="G20" s="20" t="str">
        <f t="shared" si="1"/>
        <v>y</v>
      </c>
      <c r="I20" s="1">
        <v>18</v>
      </c>
      <c r="J20" s="83" t="str">
        <f t="shared" si="2"/>
        <v>y</v>
      </c>
      <c r="K20" s="7" t="str">
        <f t="shared" si="3"/>
        <v>ㄗ</v>
      </c>
      <c r="M20" s="1">
        <v>18</v>
      </c>
      <c r="N20" s="12" t="str">
        <f t="shared" si="4"/>
        <v>E</v>
      </c>
      <c r="O20" s="12" t="str">
        <f t="shared" si="5"/>
        <v/>
      </c>
      <c r="Q20" s="1">
        <v>18</v>
      </c>
      <c r="R20" s="2" t="str">
        <f t="shared" si="7"/>
        <v>y</v>
      </c>
      <c r="S20" s="6" t="str">
        <f t="shared" si="6"/>
        <v>z</v>
      </c>
      <c r="T20" s="84" t="s">
        <v>123</v>
      </c>
      <c r="V20" s="11" t="str">
        <f xml:space="preserve"> INDEX($K$3:$K$44, MATCH(表格1_337[[#This Row],[鍵盤位置]], $J$3:$J$44,0))</f>
        <v>ㄗ</v>
      </c>
      <c r="W20" s="15" t="s">
        <v>49</v>
      </c>
      <c r="X20" s="9" t="s">
        <v>48</v>
      </c>
    </row>
    <row r="21" spans="1:24">
      <c r="A21" s="29" t="s">
        <v>67</v>
      </c>
      <c r="E21" s="1" cm="1">
        <f t="array" ref="E21" xml:space="preserve"> ROW() - ROW($2:$2)</f>
        <v>19</v>
      </c>
      <c r="F21" s="19" t="str">
        <f t="shared" si="0"/>
        <v>j</v>
      </c>
      <c r="G21" s="18" t="str">
        <f t="shared" si="1"/>
        <v>Y</v>
      </c>
      <c r="I21" s="1">
        <v>19</v>
      </c>
      <c r="J21" s="83" t="str">
        <f t="shared" si="2"/>
        <v>Y</v>
      </c>
      <c r="K21" s="7" t="str">
        <f t="shared" si="3"/>
        <v>ㆡ</v>
      </c>
      <c r="M21" s="1">
        <v>19</v>
      </c>
      <c r="N21" s="12" t="str">
        <f t="shared" si="4"/>
        <v>d</v>
      </c>
      <c r="O21" s="12" t="str">
        <f t="shared" si="5"/>
        <v/>
      </c>
      <c r="Q21" s="1">
        <v>19</v>
      </c>
      <c r="R21" s="2" t="str">
        <f t="shared" si="7"/>
        <v>Y</v>
      </c>
      <c r="S21" s="6" t="str">
        <f t="shared" si="6"/>
        <v>j</v>
      </c>
      <c r="T21" s="84" t="s">
        <v>129</v>
      </c>
      <c r="V21" s="11" t="str">
        <f xml:space="preserve"> INDEX($K$3:$K$44, MATCH(表格1_337[[#This Row],[鍵盤位置]], $J$3:$J$44,0))</f>
        <v>ㄗ</v>
      </c>
      <c r="W21" s="15" t="s">
        <v>47</v>
      </c>
      <c r="X21" s="9" t="s">
        <v>46</v>
      </c>
    </row>
    <row r="22" spans="1:24">
      <c r="A22" s="1">
        <f xml:space="preserve"> SEARCH("|",$A$11,1)</f>
        <v>8</v>
      </c>
      <c r="E22" s="1" cm="1">
        <f t="array" ref="E22" xml:space="preserve"> ROW() - ROW($2:$2)</f>
        <v>20</v>
      </c>
      <c r="F22" s="17" t="str">
        <f t="shared" si="0"/>
        <v>c</v>
      </c>
      <c r="G22" s="16" t="str">
        <f t="shared" si="1"/>
        <v>h</v>
      </c>
      <c r="I22" s="1">
        <v>20</v>
      </c>
      <c r="J22" s="83" t="str">
        <f t="shared" si="2"/>
        <v>h</v>
      </c>
      <c r="K22" s="7" t="str">
        <f t="shared" si="3"/>
        <v>ㄘ</v>
      </c>
      <c r="M22" s="1">
        <v>20</v>
      </c>
      <c r="N22" s="12" t="str">
        <f t="shared" si="4"/>
        <v>D</v>
      </c>
      <c r="O22" s="12" t="str">
        <f t="shared" si="5"/>
        <v/>
      </c>
      <c r="Q22" s="1">
        <v>20</v>
      </c>
      <c r="R22" s="2" t="str">
        <f t="shared" si="7"/>
        <v>h</v>
      </c>
      <c r="S22" s="6" t="str">
        <f t="shared" si="6"/>
        <v>c</v>
      </c>
      <c r="T22" s="84" t="s">
        <v>126</v>
      </c>
      <c r="V22" s="11" t="str">
        <f xml:space="preserve"> INDEX($K$3:$K$44, MATCH(表格1_337[[#This Row],[鍵盤位置]], $J$3:$J$44,0))</f>
        <v>ㄘ</v>
      </c>
      <c r="W22" s="15" t="s">
        <v>45</v>
      </c>
      <c r="X22" s="9" t="s">
        <v>44</v>
      </c>
    </row>
    <row r="23" spans="1:24">
      <c r="A23" s="1">
        <f xml:space="preserve"> SEARCH("|",$A$11,A22+1)</f>
        <v>64</v>
      </c>
      <c r="E23" s="1" cm="1">
        <f t="array" ref="E23" xml:space="preserve"> ROW() - ROW($2:$2)</f>
        <v>21</v>
      </c>
      <c r="F23" s="8" t="str">
        <f t="shared" si="0"/>
        <v>s</v>
      </c>
      <c r="G23" s="8" t="str">
        <f t="shared" si="1"/>
        <v>n</v>
      </c>
      <c r="I23" s="1">
        <v>21</v>
      </c>
      <c r="J23" s="83" t="str">
        <f t="shared" si="2"/>
        <v>n</v>
      </c>
      <c r="K23" s="7" t="str">
        <f t="shared" si="3"/>
        <v>ㄙ</v>
      </c>
      <c r="M23" s="1">
        <v>21</v>
      </c>
      <c r="N23" s="12" t="str">
        <f t="shared" si="4"/>
        <v>c</v>
      </c>
      <c r="O23" s="12" t="str">
        <f t="shared" si="5"/>
        <v/>
      </c>
      <c r="Q23" s="1">
        <v>21</v>
      </c>
      <c r="R23" s="2" t="str">
        <f t="shared" si="7"/>
        <v>n</v>
      </c>
      <c r="S23" s="6" t="str">
        <f t="shared" si="6"/>
        <v>s</v>
      </c>
      <c r="T23" s="84" t="s">
        <v>132</v>
      </c>
      <c r="V23" s="11" t="str">
        <f xml:space="preserve"> INDEX($K$3:$K$44, MATCH(表格1_337[[#This Row],[鍵盤位置]], $J$3:$J$44,0))</f>
        <v>ㄙ</v>
      </c>
      <c r="W23" s="15" t="s">
        <v>43</v>
      </c>
      <c r="X23" s="9" t="s">
        <v>42</v>
      </c>
    </row>
    <row r="24" spans="1:24">
      <c r="A24" s="1">
        <f xml:space="preserve"> SEARCH("|",$A$11,A23+1)</f>
        <v>120</v>
      </c>
      <c r="E24" s="1" cm="1">
        <f t="array" ref="E24" xml:space="preserve"> ROW() - ROW($2:$2)</f>
        <v>22</v>
      </c>
      <c r="F24" s="8" t="str">
        <f t="shared" si="0"/>
        <v>a</v>
      </c>
      <c r="G24" s="8" t="str">
        <f t="shared" si="1"/>
        <v>8</v>
      </c>
      <c r="I24" s="1">
        <v>22</v>
      </c>
      <c r="J24" s="83" t="str">
        <f t="shared" si="2"/>
        <v>8</v>
      </c>
      <c r="K24" s="7" t="str">
        <f t="shared" si="3"/>
        <v>ㄚ</v>
      </c>
      <c r="M24" s="1">
        <v>22</v>
      </c>
      <c r="N24" s="12" t="str">
        <f t="shared" si="4"/>
        <v>r</v>
      </c>
      <c r="O24" s="12" t="str">
        <f t="shared" si="5"/>
        <v/>
      </c>
      <c r="Q24" s="1">
        <v>22</v>
      </c>
      <c r="R24" s="2" t="str">
        <f t="shared" si="7"/>
        <v>8</v>
      </c>
      <c r="S24" s="6" t="str">
        <f t="shared" si="6"/>
        <v>a</v>
      </c>
      <c r="T24" s="84" t="s">
        <v>136</v>
      </c>
      <c r="V24" s="11" t="str">
        <f xml:space="preserve"> INDEX($K$3:$K$44, MATCH(表格1_337[[#This Row],[鍵盤位置]], $J$3:$J$44,0))</f>
        <v>ㄚ</v>
      </c>
      <c r="W24" s="10" t="s">
        <v>41</v>
      </c>
      <c r="X24" s="9" t="s">
        <v>40</v>
      </c>
    </row>
    <row r="25" spans="1:24">
      <c r="A25" s="14" t="str">
        <f xml:space="preserve"> MID($A$11,A22+1, A23-A22-1)</f>
        <v>1!qa2wsxeEdDcrRfvyYhn8*iIkoO9(lL,&lt;m0p;:/-uUjJ 43btgz657</v>
      </c>
      <c r="B25" s="13">
        <f xml:space="preserve"> LEN(A25)</f>
        <v>55</v>
      </c>
      <c r="E25" s="1" cm="1">
        <f t="array" ref="E25" xml:space="preserve"> ROW() - ROW($2:$2)</f>
        <v>23</v>
      </c>
      <c r="F25" s="8" t="str">
        <f t="shared" si="0"/>
        <v>A</v>
      </c>
      <c r="G25" s="8" t="str">
        <f t="shared" si="1"/>
        <v>*</v>
      </c>
      <c r="I25" s="1">
        <v>23</v>
      </c>
      <c r="J25" s="83" t="str">
        <f t="shared" si="2"/>
        <v>*</v>
      </c>
      <c r="K25" s="7" t="str">
        <f t="shared" si="3"/>
        <v>ㆩ</v>
      </c>
      <c r="M25" s="1">
        <v>23</v>
      </c>
      <c r="N25" s="12" t="str">
        <f t="shared" si="4"/>
        <v>R</v>
      </c>
      <c r="O25" s="12" t="str">
        <f t="shared" si="5"/>
        <v/>
      </c>
      <c r="Q25" s="1">
        <v>23</v>
      </c>
      <c r="R25" s="2" t="str">
        <f t="shared" si="7"/>
        <v>*</v>
      </c>
      <c r="S25" s="6" t="str">
        <f t="shared" si="6"/>
        <v>A</v>
      </c>
      <c r="T25" s="84" t="s">
        <v>170</v>
      </c>
      <c r="V25" s="11" t="str">
        <f xml:space="preserve"> INDEX($K$3:$K$44, MATCH(表格1_337[[#This Row],[鍵盤位置]], $J$3:$J$44,0))</f>
        <v>ㄅ</v>
      </c>
      <c r="W25" s="10" t="s">
        <v>39</v>
      </c>
      <c r="X25" s="9" t="s">
        <v>38</v>
      </c>
    </row>
    <row r="26" spans="1:24">
      <c r="A26" s="14" t="str">
        <f xml:space="preserve"> MID($A$11,A23+1, A24-A23-1)</f>
        <v>ㄅㆠㄆㄇㄉㄊㄋㄌㄍㆣㄎㄫㄏㄐㆢㄑㄒㄗㆡㄘㄙㄚㆩㆦㆧㄜㆤㆥㄞㆮㄠㆯㆰㆱㆬㄢㄣㄤㆲㄥㆭㄧㆪㄨㆫ ˋ˪ㆴㆵㆻㆷˊ˫˙</v>
      </c>
      <c r="B26" s="13">
        <f xml:space="preserve"> LEN(A26)</f>
        <v>55</v>
      </c>
      <c r="E26" s="1" cm="1">
        <f t="array" ref="E26" xml:space="preserve"> ROW() - ROW($2:$2)</f>
        <v>24</v>
      </c>
      <c r="F26" s="8" t="str">
        <f t="shared" si="0"/>
        <v>O</v>
      </c>
      <c r="G26" s="8" t="str">
        <f t="shared" si="1"/>
        <v>i</v>
      </c>
      <c r="I26" s="1">
        <v>24</v>
      </c>
      <c r="J26" s="83" t="str">
        <f t="shared" si="2"/>
        <v>i</v>
      </c>
      <c r="K26" s="7" t="str">
        <f t="shared" si="3"/>
        <v>ㆦ</v>
      </c>
      <c r="M26" s="1">
        <v>24</v>
      </c>
      <c r="N26" s="12" t="str">
        <f t="shared" si="4"/>
        <v>f</v>
      </c>
      <c r="O26" s="12" t="str">
        <f t="shared" si="5"/>
        <v/>
      </c>
      <c r="Q26" s="1">
        <v>24</v>
      </c>
      <c r="R26" s="2" t="str">
        <f t="shared" si="7"/>
        <v>i</v>
      </c>
      <c r="S26" s="6" t="str">
        <f t="shared" si="6"/>
        <v>O</v>
      </c>
      <c r="T26" s="84" t="s">
        <v>137</v>
      </c>
      <c r="V26" s="11" t="str">
        <f xml:space="preserve"> INDEX($K$3:$K$44, MATCH(表格1_337[[#This Row],[鍵盤位置]], $J$3:$J$44,0))</f>
        <v>ㆦ</v>
      </c>
      <c r="W26" s="10" t="s">
        <v>37</v>
      </c>
      <c r="X26" s="9" t="s">
        <v>36</v>
      </c>
    </row>
    <row r="27" spans="1:24">
      <c r="E27" s="1" cm="1">
        <f t="array" ref="E27" xml:space="preserve"> ROW() - ROW($2:$2)</f>
        <v>25</v>
      </c>
      <c r="F27" s="8" t="str">
        <f t="shared" si="0"/>
        <v>Q</v>
      </c>
      <c r="G27" s="8" t="str">
        <f t="shared" si="1"/>
        <v>I</v>
      </c>
      <c r="I27" s="1">
        <v>25</v>
      </c>
      <c r="J27" s="83" t="str">
        <f t="shared" si="2"/>
        <v>I</v>
      </c>
      <c r="K27" s="7" t="str">
        <f t="shared" si="3"/>
        <v>ㆧ</v>
      </c>
      <c r="M27" s="1">
        <v>25</v>
      </c>
      <c r="N27" s="12" t="str">
        <f t="shared" si="4"/>
        <v>v</v>
      </c>
      <c r="O27" s="12" t="str">
        <f t="shared" si="5"/>
        <v/>
      </c>
      <c r="Q27" s="1">
        <v>25</v>
      </c>
      <c r="R27" s="2" t="str">
        <f t="shared" si="7"/>
        <v>I</v>
      </c>
      <c r="S27" s="6" t="str">
        <f t="shared" si="6"/>
        <v>Q</v>
      </c>
      <c r="T27" s="84" t="s">
        <v>173</v>
      </c>
      <c r="V27" s="11" t="str">
        <f xml:space="preserve"> INDEX($K$3:$K$44, MATCH(表格1_337[[#This Row],[鍵盤位置]], $J$3:$J$44,0))</f>
        <v>ㆦ</v>
      </c>
      <c r="W27" s="10" t="s">
        <v>35</v>
      </c>
      <c r="X27" s="9" t="s">
        <v>34</v>
      </c>
    </row>
    <row r="28" spans="1:24">
      <c r="E28" s="1" cm="1">
        <f t="array" ref="E28" xml:space="preserve"> ROW() - ROW($2:$2)</f>
        <v>26</v>
      </c>
      <c r="F28" s="8" t="str">
        <f t="shared" si="0"/>
        <v>o</v>
      </c>
      <c r="G28" s="8" t="str">
        <f t="shared" si="1"/>
        <v>k</v>
      </c>
      <c r="I28" s="1">
        <v>26</v>
      </c>
      <c r="J28" s="83" t="str">
        <f t="shared" si="2"/>
        <v>k</v>
      </c>
      <c r="K28" s="7" t="str">
        <f t="shared" si="3"/>
        <v>ㄜ</v>
      </c>
      <c r="M28" s="1">
        <v>26</v>
      </c>
      <c r="N28" s="12" t="str">
        <f t="shared" si="4"/>
        <v>y</v>
      </c>
      <c r="O28" s="12" t="str">
        <f t="shared" si="5"/>
        <v/>
      </c>
      <c r="Q28" s="1">
        <v>26</v>
      </c>
      <c r="R28" s="2" t="str">
        <f t="shared" si="7"/>
        <v>k</v>
      </c>
      <c r="S28" s="6" t="str">
        <f t="shared" si="6"/>
        <v>o</v>
      </c>
      <c r="T28" s="84" t="s">
        <v>139</v>
      </c>
      <c r="V28" s="11" t="str">
        <f xml:space="preserve"> INDEX($K$3:$K$44, MATCH(表格1_337[[#This Row],[鍵盤位置]], $J$3:$J$44,0))</f>
        <v>ㄜ</v>
      </c>
      <c r="W28" s="10" t="s">
        <v>33</v>
      </c>
      <c r="X28" s="9" t="s">
        <v>32</v>
      </c>
    </row>
    <row r="29" spans="1:24">
      <c r="E29" s="1" cm="1">
        <f t="array" ref="E29" xml:space="preserve"> ROW() - ROW($2:$2)</f>
        <v>27</v>
      </c>
      <c r="F29" s="8" t="str">
        <f t="shared" si="0"/>
        <v>e</v>
      </c>
      <c r="G29" s="8" t="str">
        <f t="shared" si="1"/>
        <v>o</v>
      </c>
      <c r="I29" s="1">
        <v>27</v>
      </c>
      <c r="J29" s="83" t="str">
        <f t="shared" si="2"/>
        <v>o</v>
      </c>
      <c r="K29" s="7" t="str">
        <f t="shared" si="3"/>
        <v>ㆤ</v>
      </c>
      <c r="M29" s="1">
        <v>27</v>
      </c>
      <c r="N29" s="12" t="str">
        <f t="shared" si="4"/>
        <v>Y</v>
      </c>
      <c r="O29" s="12" t="str">
        <f t="shared" si="5"/>
        <v/>
      </c>
      <c r="Q29" s="1">
        <v>27</v>
      </c>
      <c r="R29" s="2" t="str">
        <f t="shared" si="7"/>
        <v>o</v>
      </c>
      <c r="S29" s="6" t="str">
        <f t="shared" si="6"/>
        <v>e</v>
      </c>
      <c r="T29" s="84" t="s">
        <v>214</v>
      </c>
      <c r="V29" s="11" t="str">
        <f xml:space="preserve"> INDEX($K$3:$K$44, MATCH(表格1_337[[#This Row],[鍵盤位置]], $J$3:$J$44,0))</f>
        <v>ㆤ</v>
      </c>
      <c r="W29" s="10" t="s">
        <v>31</v>
      </c>
      <c r="X29" s="9" t="s">
        <v>30</v>
      </c>
    </row>
    <row r="30" spans="1:24">
      <c r="E30" s="1" cm="1">
        <f t="array" ref="E30" xml:space="preserve"> ROW() - ROW($2:$2)</f>
        <v>28</v>
      </c>
      <c r="F30" s="8" t="str">
        <f t="shared" si="0"/>
        <v>E</v>
      </c>
      <c r="G30" s="8" t="str">
        <f t="shared" si="1"/>
        <v>O</v>
      </c>
      <c r="I30" s="1">
        <v>28</v>
      </c>
      <c r="J30" s="83" t="str">
        <f t="shared" si="2"/>
        <v>O</v>
      </c>
      <c r="K30" s="7" t="str">
        <f t="shared" si="3"/>
        <v>ㆥ</v>
      </c>
      <c r="M30" s="1">
        <v>28</v>
      </c>
      <c r="N30" s="12" t="str">
        <f t="shared" si="4"/>
        <v>h</v>
      </c>
      <c r="O30" s="12" t="str">
        <f t="shared" si="5"/>
        <v/>
      </c>
      <c r="Q30" s="1">
        <v>28</v>
      </c>
      <c r="R30" s="2" t="str">
        <f t="shared" si="7"/>
        <v>O</v>
      </c>
      <c r="S30" s="6" t="str">
        <f t="shared" si="6"/>
        <v>E</v>
      </c>
      <c r="T30" s="84" t="s">
        <v>214</v>
      </c>
      <c r="V30" s="11" t="str">
        <f xml:space="preserve"> INDEX($K$3:$K$44, MATCH(表格1_337[[#This Row],[鍵盤位置]], $J$3:$J$44,0))</f>
        <v>ㆤ</v>
      </c>
      <c r="W30" s="10" t="s">
        <v>29</v>
      </c>
      <c r="X30" s="9" t="s">
        <v>28</v>
      </c>
    </row>
    <row r="31" spans="1:24">
      <c r="E31" s="1" cm="1">
        <f t="array" ref="E31" xml:space="preserve"> ROW() - ROW($2:$2)</f>
        <v>29</v>
      </c>
      <c r="F31" s="8" t="str">
        <f t="shared" si="0"/>
        <v>y</v>
      </c>
      <c r="G31" s="8" t="str">
        <f t="shared" si="1"/>
        <v>9</v>
      </c>
      <c r="I31" s="1">
        <v>29</v>
      </c>
      <c r="J31" s="83" t="str">
        <f t="shared" si="2"/>
        <v>9</v>
      </c>
      <c r="K31" s="7" t="str">
        <f t="shared" si="3"/>
        <v>ㄞ</v>
      </c>
      <c r="M31" s="1">
        <v>29</v>
      </c>
      <c r="N31" s="12" t="str">
        <f t="shared" si="4"/>
        <v>n</v>
      </c>
      <c r="O31" s="12" t="str">
        <f t="shared" si="5"/>
        <v/>
      </c>
      <c r="Q31" s="1">
        <v>29</v>
      </c>
      <c r="R31" s="2" t="str">
        <f t="shared" si="7"/>
        <v>9</v>
      </c>
      <c r="S31" s="6" t="str">
        <f t="shared" si="6"/>
        <v>y</v>
      </c>
      <c r="T31" s="84" t="s">
        <v>149</v>
      </c>
      <c r="V31" s="11" t="str">
        <f xml:space="preserve"> INDEX($K$3:$K$44, MATCH(表格1_337[[#This Row],[鍵盤位置]], $J$3:$J$44,0))</f>
        <v>ㄞ</v>
      </c>
      <c r="W31" s="10" t="s">
        <v>27</v>
      </c>
      <c r="X31" s="9" t="s">
        <v>26</v>
      </c>
    </row>
    <row r="32" spans="1:24">
      <c r="E32" s="1" cm="1">
        <f t="array" ref="E32" xml:space="preserve"> ROW() - ROW($2:$2)</f>
        <v>30</v>
      </c>
      <c r="F32" s="8" t="str">
        <f t="shared" si="0"/>
        <v>Y</v>
      </c>
      <c r="G32" s="8" t="str">
        <f t="shared" si="1"/>
        <v>(</v>
      </c>
      <c r="I32" s="1">
        <v>30</v>
      </c>
      <c r="J32" s="83" t="str">
        <f t="shared" si="2"/>
        <v>(</v>
      </c>
      <c r="K32" s="7" t="str">
        <f t="shared" si="3"/>
        <v>ㆮ</v>
      </c>
      <c r="M32" s="1">
        <v>30</v>
      </c>
      <c r="N32" s="12" t="str">
        <f t="shared" si="4"/>
        <v>8</v>
      </c>
      <c r="O32" s="12" t="str">
        <f t="shared" si="5"/>
        <v/>
      </c>
      <c r="Q32" s="1">
        <v>30</v>
      </c>
      <c r="R32" s="2" t="str">
        <f t="shared" si="7"/>
        <v>(</v>
      </c>
      <c r="S32" s="6" t="str">
        <f t="shared" si="6"/>
        <v>Y</v>
      </c>
      <c r="T32" s="84" t="s">
        <v>177</v>
      </c>
      <c r="V32" s="11" t="str">
        <f xml:space="preserve"> INDEX($K$3:$K$44, MATCH(表格1_337[[#This Row],[鍵盤位置]], $J$3:$J$44,0))</f>
        <v>ㆮ</v>
      </c>
      <c r="W32" s="10" t="s">
        <v>25</v>
      </c>
      <c r="X32" s="9" t="s">
        <v>24</v>
      </c>
    </row>
    <row r="33" spans="5:24">
      <c r="E33" s="1" cm="1">
        <f t="array" ref="E33" xml:space="preserve"> ROW() - ROW($2:$2)</f>
        <v>31</v>
      </c>
      <c r="F33" s="8" t="str">
        <f t="shared" si="0"/>
        <v>x</v>
      </c>
      <c r="G33" s="8" t="str">
        <f t="shared" si="1"/>
        <v>l</v>
      </c>
      <c r="I33" s="1">
        <v>31</v>
      </c>
      <c r="J33" s="83" t="str">
        <f t="shared" si="2"/>
        <v>l</v>
      </c>
      <c r="K33" s="7" t="str">
        <f t="shared" si="3"/>
        <v>ㄠ</v>
      </c>
      <c r="M33" s="1">
        <v>31</v>
      </c>
      <c r="N33" s="12" t="str">
        <f t="shared" si="4"/>
        <v>*</v>
      </c>
      <c r="O33" s="12" t="str">
        <f t="shared" si="5"/>
        <v/>
      </c>
      <c r="Q33" s="1">
        <v>31</v>
      </c>
      <c r="R33" s="2" t="str">
        <f t="shared" si="7"/>
        <v>l</v>
      </c>
      <c r="S33" s="6" t="str">
        <f t="shared" si="6"/>
        <v>x</v>
      </c>
      <c r="T33" s="84" t="s">
        <v>153</v>
      </c>
      <c r="V33" s="11" t="str">
        <f xml:space="preserve"> INDEX($K$3:$K$44, MATCH(表格1_337[[#This Row],[鍵盤位置]], $J$3:$J$44,0))</f>
        <v>ㄠ</v>
      </c>
      <c r="W33" s="10" t="s">
        <v>23</v>
      </c>
      <c r="X33" s="9" t="s">
        <v>22</v>
      </c>
    </row>
    <row r="34" spans="5:24">
      <c r="E34" s="1" cm="1">
        <f t="array" ref="E34" xml:space="preserve"> ROW() - ROW($2:$2)</f>
        <v>32</v>
      </c>
      <c r="F34" s="8" t="str">
        <f t="shared" si="0"/>
        <v>X</v>
      </c>
      <c r="G34" s="8" t="str">
        <f t="shared" si="1"/>
        <v>L</v>
      </c>
      <c r="I34" s="1">
        <v>32</v>
      </c>
      <c r="J34" s="83" t="str">
        <f t="shared" si="2"/>
        <v>L</v>
      </c>
      <c r="K34" s="7" t="str">
        <f t="shared" si="3"/>
        <v>ㆯ</v>
      </c>
      <c r="M34" s="1">
        <v>32</v>
      </c>
      <c r="N34" s="12" t="str">
        <f t="shared" si="4"/>
        <v>i</v>
      </c>
      <c r="O34" s="12" t="str">
        <f t="shared" si="5"/>
        <v/>
      </c>
      <c r="Q34" s="1">
        <v>32</v>
      </c>
      <c r="R34" s="2" t="str">
        <f t="shared" si="7"/>
        <v>L</v>
      </c>
      <c r="S34" s="6" t="str">
        <f t="shared" si="6"/>
        <v>X</v>
      </c>
      <c r="T34" s="84" t="s">
        <v>180</v>
      </c>
      <c r="V34" s="11" t="str">
        <f xml:space="preserve"> INDEX($K$3:$K$44, MATCH(表格1_337[[#This Row],[鍵盤位置]], $J$3:$J$44,0))</f>
        <v>ㄠ</v>
      </c>
      <c r="W34" s="10" t="s">
        <v>21</v>
      </c>
      <c r="X34" s="9" t="s">
        <v>20</v>
      </c>
    </row>
    <row r="35" spans="5:24">
      <c r="E35" s="1" cm="1">
        <f t="array" ref="E35" xml:space="preserve"> ROW() - ROW($2:$2)</f>
        <v>33</v>
      </c>
      <c r="F35" s="8" t="str">
        <f t="shared" ref="F35:F57" si="8" xml:space="preserve"> IFERROR( MID($A$6, $E35, 1), "")</f>
        <v>{</v>
      </c>
      <c r="G35" s="8" t="str">
        <f t="shared" ref="G35:G57" si="9" xml:space="preserve"> IFERROR( MID($A$7, $E35, 1), "")</f>
        <v>,</v>
      </c>
      <c r="I35" s="1">
        <v>33</v>
      </c>
      <c r="J35" s="83" t="str">
        <f t="shared" ref="J35:J57" si="10" xml:space="preserve"> IFERROR( MID($A$15, $E35, 1), "")</f>
        <v>,</v>
      </c>
      <c r="K35" s="7" t="str">
        <f t="shared" ref="K35:K57" si="11" xml:space="preserve"> IFERROR( MID($A$16, $E35, 1), "")</f>
        <v>ㆰ</v>
      </c>
      <c r="M35" s="1">
        <v>33</v>
      </c>
      <c r="N35" s="12" t="str">
        <f t="shared" si="4"/>
        <v>I</v>
      </c>
      <c r="O35" s="12" t="str">
        <f t="shared" si="5"/>
        <v/>
      </c>
      <c r="Q35" s="1">
        <v>33</v>
      </c>
      <c r="R35" s="2" t="str">
        <f t="shared" ref="R35:R47" si="12">G35</f>
        <v>,</v>
      </c>
      <c r="S35" s="6" t="str">
        <f t="shared" ref="S35:S47" si="13">F35</f>
        <v>{</v>
      </c>
      <c r="T35" s="84" t="s">
        <v>182</v>
      </c>
      <c r="V35" s="11" t="str">
        <f xml:space="preserve"> INDEX($K$3:$K$44, MATCH(表格1_337[[#This Row],[鍵盤位置]], $J$3:$J$44,0))</f>
        <v>ㆰ</v>
      </c>
      <c r="W35" s="10" t="s">
        <v>19</v>
      </c>
      <c r="X35" s="9" t="s">
        <v>18</v>
      </c>
    </row>
    <row r="36" spans="5:24">
      <c r="E36" s="1" cm="1">
        <f t="array" ref="E36" xml:space="preserve"> ROW() - ROW($2:$2)</f>
        <v>34</v>
      </c>
      <c r="F36" s="8" t="str">
        <f t="shared" si="8"/>
        <v>}</v>
      </c>
      <c r="G36" s="8" t="str">
        <f t="shared" si="9"/>
        <v>&lt;</v>
      </c>
      <c r="I36" s="1">
        <v>34</v>
      </c>
      <c r="J36" s="83" t="str">
        <f t="shared" si="10"/>
        <v>&lt;</v>
      </c>
      <c r="K36" s="7" t="str">
        <f t="shared" si="11"/>
        <v>ㆱ</v>
      </c>
      <c r="M36" s="1">
        <v>34</v>
      </c>
      <c r="N36" s="12" t="str">
        <f t="shared" si="4"/>
        <v>k</v>
      </c>
      <c r="O36" s="12" t="str">
        <f t="shared" si="5"/>
        <v/>
      </c>
      <c r="Q36" s="1">
        <v>34</v>
      </c>
      <c r="R36" s="2" t="str">
        <f t="shared" si="12"/>
        <v>&lt;</v>
      </c>
      <c r="S36" s="6" t="str">
        <f t="shared" si="13"/>
        <v>}</v>
      </c>
      <c r="T36" s="84" t="s">
        <v>184</v>
      </c>
      <c r="V36" s="11" t="str">
        <f xml:space="preserve"> INDEX($K$3:$K$44, MATCH(表格1_337[[#This Row],[鍵盤位置]], $J$3:$J$44,0))</f>
        <v>ㆱ</v>
      </c>
      <c r="W36" s="10" t="s">
        <v>17</v>
      </c>
      <c r="X36" s="9" t="s">
        <v>16</v>
      </c>
    </row>
    <row r="37" spans="5:24">
      <c r="E37" s="1" cm="1">
        <f t="array" ref="E37" xml:space="preserve"> ROW() - ROW($2:$2)</f>
        <v>35</v>
      </c>
      <c r="F37" s="8" t="str">
        <f t="shared" si="8"/>
        <v>M</v>
      </c>
      <c r="G37" s="8" t="str">
        <f t="shared" si="9"/>
        <v>m</v>
      </c>
      <c r="I37" s="1">
        <v>35</v>
      </c>
      <c r="J37" s="83" t="str">
        <f t="shared" si="10"/>
        <v>m</v>
      </c>
      <c r="K37" s="7" t="str">
        <f t="shared" si="11"/>
        <v>ㆬ</v>
      </c>
      <c r="M37" s="1">
        <v>35</v>
      </c>
      <c r="N37" s="12" t="str">
        <f t="shared" si="4"/>
        <v>o</v>
      </c>
      <c r="O37" s="12" t="str">
        <f t="shared" si="5"/>
        <v/>
      </c>
      <c r="Q37" s="1">
        <v>35</v>
      </c>
      <c r="R37" s="2" t="str">
        <f t="shared" si="12"/>
        <v>m</v>
      </c>
      <c r="S37" s="6" t="str">
        <f t="shared" si="13"/>
        <v>M</v>
      </c>
      <c r="T37" s="84" t="s">
        <v>155</v>
      </c>
      <c r="V37" s="11" t="str">
        <f xml:space="preserve"> INDEX($K$3:$K$44, MATCH(表格1_337[[#This Row],[鍵盤位置]], $J$3:$J$44,0))</f>
        <v>ㆬ</v>
      </c>
      <c r="W37" s="10" t="s">
        <v>15</v>
      </c>
      <c r="X37" s="9" t="s">
        <v>14</v>
      </c>
    </row>
    <row r="38" spans="5:24">
      <c r="E38" s="1" cm="1">
        <f t="array" ref="E38" xml:space="preserve"> ROW() - ROW($2:$2)</f>
        <v>36</v>
      </c>
      <c r="F38" s="8" t="str">
        <f t="shared" si="8"/>
        <v>0</v>
      </c>
      <c r="G38" s="8" t="str">
        <f t="shared" si="9"/>
        <v>0</v>
      </c>
      <c r="I38" s="1">
        <v>36</v>
      </c>
      <c r="J38" s="83" t="str">
        <f t="shared" si="10"/>
        <v>0</v>
      </c>
      <c r="K38" s="7" t="str">
        <f t="shared" si="11"/>
        <v>ㄢ</v>
      </c>
      <c r="M38" s="1">
        <v>36</v>
      </c>
      <c r="N38" s="12" t="str">
        <f t="shared" si="4"/>
        <v>O</v>
      </c>
      <c r="O38" s="12" t="str">
        <f t="shared" si="5"/>
        <v/>
      </c>
      <c r="Q38" s="1">
        <v>36</v>
      </c>
      <c r="R38" s="2" t="str">
        <f t="shared" si="12"/>
        <v>0</v>
      </c>
      <c r="S38" s="6" t="str">
        <f t="shared" si="13"/>
        <v>0</v>
      </c>
      <c r="T38" s="84" t="s">
        <v>151</v>
      </c>
      <c r="V38" s="11" t="str">
        <f xml:space="preserve"> INDEX($K$3:$K$44, MATCH(表格1_337[[#This Row],[鍵盤位置]], $J$3:$J$44,0))</f>
        <v>ㄢ</v>
      </c>
      <c r="W38" s="10" t="s">
        <v>13</v>
      </c>
      <c r="X38" s="9" t="s">
        <v>12</v>
      </c>
    </row>
    <row r="39" spans="5:24">
      <c r="E39" s="1" cm="1">
        <f t="array" ref="E39" xml:space="preserve"> ROW() - ROW($2:$2)</f>
        <v>37</v>
      </c>
      <c r="F39" s="8" t="str">
        <f t="shared" si="8"/>
        <v>N</v>
      </c>
      <c r="G39" s="8" t="str">
        <f t="shared" si="9"/>
        <v>p</v>
      </c>
      <c r="I39" s="1">
        <v>37</v>
      </c>
      <c r="J39" s="83" t="str">
        <f t="shared" si="10"/>
        <v>p</v>
      </c>
      <c r="K39" s="7" t="str">
        <f t="shared" si="11"/>
        <v>ㄣ</v>
      </c>
      <c r="M39" s="1">
        <v>37</v>
      </c>
      <c r="N39" s="12" t="str">
        <f t="shared" si="4"/>
        <v>9</v>
      </c>
      <c r="O39" s="12" t="str">
        <f t="shared" si="5"/>
        <v/>
      </c>
      <c r="Q39" s="1">
        <v>37</v>
      </c>
      <c r="R39" s="2" t="str">
        <f t="shared" si="12"/>
        <v>p</v>
      </c>
      <c r="S39" s="6" t="str">
        <f t="shared" si="13"/>
        <v>N</v>
      </c>
      <c r="T39" s="84" t="s">
        <v>141</v>
      </c>
      <c r="V39" s="11" t="str">
        <f xml:space="preserve"> INDEX($K$3:$K$44, MATCH(表格1_337[[#This Row],[鍵盤位置]], $J$3:$J$44,0))</f>
        <v>ㄣ</v>
      </c>
      <c r="W39" s="10" t="s">
        <v>11</v>
      </c>
      <c r="X39" s="9" t="s">
        <v>10</v>
      </c>
    </row>
    <row r="40" spans="5:24">
      <c r="E40" s="1" cm="1">
        <f t="array" ref="E40" xml:space="preserve"> ROW() - ROW($2:$2)</f>
        <v>38</v>
      </c>
      <c r="F40" s="8" t="str">
        <f t="shared" si="8"/>
        <v>[</v>
      </c>
      <c r="G40" s="8" t="str">
        <f t="shared" si="9"/>
        <v>;</v>
      </c>
      <c r="I40" s="1">
        <v>38</v>
      </c>
      <c r="J40" s="83" t="str">
        <f t="shared" si="10"/>
        <v>;</v>
      </c>
      <c r="K40" s="7" t="str">
        <f t="shared" si="11"/>
        <v>ㄤ</v>
      </c>
      <c r="M40" s="1">
        <v>38</v>
      </c>
      <c r="N40" s="12" t="str">
        <f t="shared" si="4"/>
        <v>(</v>
      </c>
      <c r="O40" s="12" t="str">
        <f t="shared" si="5"/>
        <v/>
      </c>
      <c r="Q40" s="1">
        <v>38</v>
      </c>
      <c r="R40" s="2" t="str">
        <f t="shared" si="12"/>
        <v>;</v>
      </c>
      <c r="S40" s="6" t="str">
        <f t="shared" si="13"/>
        <v>[</v>
      </c>
      <c r="T40" s="84" t="s">
        <v>143</v>
      </c>
      <c r="V40" s="11" t="str">
        <f xml:space="preserve"> INDEX($K$3:$K$44, MATCH(表格1_337[[#This Row],[鍵盤位置]], $J$3:$J$44,0))</f>
        <v>ㄤ</v>
      </c>
      <c r="W40" s="10" t="s">
        <v>9</v>
      </c>
      <c r="X40" s="9" t="s">
        <v>8</v>
      </c>
    </row>
    <row r="41" spans="5:24">
      <c r="E41" s="1" cm="1">
        <f t="array" ref="E41" xml:space="preserve"> ROW() - ROW($2:$2)</f>
        <v>39</v>
      </c>
      <c r="F41" s="8" t="str">
        <f t="shared" si="8"/>
        <v>]</v>
      </c>
      <c r="G41" s="8" t="str">
        <f t="shared" si="9"/>
        <v>:</v>
      </c>
      <c r="I41" s="1">
        <v>39</v>
      </c>
      <c r="J41" s="83" t="str">
        <f t="shared" si="10"/>
        <v>:</v>
      </c>
      <c r="K41" s="7" t="str">
        <f t="shared" si="11"/>
        <v>ㆲ</v>
      </c>
      <c r="M41" s="1">
        <v>39</v>
      </c>
      <c r="N41" s="12" t="str">
        <f t="shared" si="4"/>
        <v>l</v>
      </c>
      <c r="O41" s="12" t="str">
        <f t="shared" si="5"/>
        <v/>
      </c>
      <c r="Q41" s="1">
        <v>39</v>
      </c>
      <c r="R41" s="2" t="str">
        <f t="shared" si="12"/>
        <v>:</v>
      </c>
      <c r="S41" s="6" t="str">
        <f t="shared" si="13"/>
        <v>]</v>
      </c>
      <c r="T41" s="84" t="s">
        <v>187</v>
      </c>
      <c r="V41" s="11" t="str">
        <f xml:space="preserve"> INDEX($K$3:$K$44, MATCH(表格1_337[[#This Row],[鍵盤位置]], $J$3:$J$44,0))</f>
        <v>ㆲ</v>
      </c>
      <c r="W41" s="10" t="s">
        <v>7</v>
      </c>
      <c r="X41" s="9" t="s">
        <v>6</v>
      </c>
    </row>
    <row r="42" spans="5:24">
      <c r="E42" s="1" cm="1">
        <f t="array" ref="E42" xml:space="preserve"> ROW() - ROW($2:$2)</f>
        <v>40</v>
      </c>
      <c r="F42" s="8" t="str">
        <f t="shared" si="8"/>
        <v>R</v>
      </c>
      <c r="G42" s="8" t="str">
        <f t="shared" si="9"/>
        <v>/</v>
      </c>
      <c r="I42" s="1">
        <v>40</v>
      </c>
      <c r="J42" s="83" t="str">
        <f t="shared" si="10"/>
        <v>/</v>
      </c>
      <c r="K42" s="7" t="str">
        <f t="shared" si="11"/>
        <v>ㄥ</v>
      </c>
      <c r="M42" s="1">
        <v>40</v>
      </c>
      <c r="N42" s="12" t="str">
        <f t="shared" si="4"/>
        <v>L</v>
      </c>
      <c r="O42" s="12" t="str">
        <f t="shared" si="5"/>
        <v/>
      </c>
      <c r="Q42" s="1">
        <v>40</v>
      </c>
      <c r="R42" s="2" t="str">
        <f t="shared" si="12"/>
        <v>/</v>
      </c>
      <c r="S42" s="6" t="str">
        <f t="shared" si="13"/>
        <v>R</v>
      </c>
      <c r="T42" s="84" t="s">
        <v>146</v>
      </c>
      <c r="V42" s="11" t="str">
        <f xml:space="preserve"> INDEX($K$3:$K$44, MATCH(表格1_337[[#This Row],[鍵盤位置]], $J$3:$J$44,0))</f>
        <v>ㄥ</v>
      </c>
      <c r="W42" s="10" t="s">
        <v>5</v>
      </c>
      <c r="X42" s="9" t="s">
        <v>4</v>
      </c>
    </row>
    <row r="43" spans="5:24">
      <c r="E43" s="1" cm="1">
        <f t="array" ref="E43" xml:space="preserve"> ROW() - ROW($2:$2)</f>
        <v>41</v>
      </c>
      <c r="F43" s="8" t="str">
        <f t="shared" si="8"/>
        <v>r</v>
      </c>
      <c r="G43" s="8" t="str">
        <f t="shared" si="9"/>
        <v>-</v>
      </c>
      <c r="I43" s="1">
        <v>41</v>
      </c>
      <c r="J43" s="83" t="str">
        <f t="shared" si="10"/>
        <v>-</v>
      </c>
      <c r="K43" s="7" t="str">
        <f t="shared" si="11"/>
        <v>ㆭ</v>
      </c>
      <c r="M43" s="1">
        <v>41</v>
      </c>
      <c r="N43" s="12" t="str">
        <f t="shared" si="4"/>
        <v>,</v>
      </c>
      <c r="O43" s="12" t="str">
        <f t="shared" si="5"/>
        <v/>
      </c>
      <c r="Q43" s="1">
        <v>41</v>
      </c>
      <c r="R43" s="2" t="str">
        <f t="shared" si="12"/>
        <v>-</v>
      </c>
      <c r="S43" s="6" t="str">
        <f t="shared" si="13"/>
        <v>r</v>
      </c>
      <c r="T43" s="84" t="s">
        <v>189</v>
      </c>
      <c r="V43" s="11" t="str">
        <f xml:space="preserve"> INDEX($K$3:$K$44, MATCH(表格1_337[[#This Row],[鍵盤位置]], $J$3:$J$44,0))</f>
        <v>ㆭ</v>
      </c>
      <c r="W43" s="10" t="s">
        <v>3</v>
      </c>
      <c r="X43" s="9" t="s">
        <v>2</v>
      </c>
    </row>
    <row r="44" spans="5:24">
      <c r="E44" s="1" cm="1">
        <f t="array" ref="E44" xml:space="preserve"> ROW() - ROW($2:$2)</f>
        <v>42</v>
      </c>
      <c r="F44" s="8" t="str">
        <f t="shared" si="8"/>
        <v>i</v>
      </c>
      <c r="G44" s="8" t="str">
        <f t="shared" si="9"/>
        <v>u</v>
      </c>
      <c r="I44" s="1">
        <v>42</v>
      </c>
      <c r="J44" s="83" t="str">
        <f t="shared" si="10"/>
        <v>u</v>
      </c>
      <c r="K44" s="7" t="str">
        <f t="shared" si="11"/>
        <v>ㄧ</v>
      </c>
      <c r="M44" s="1">
        <v>42</v>
      </c>
      <c r="N44" s="12" t="str">
        <f t="shared" si="4"/>
        <v>&lt;</v>
      </c>
      <c r="O44" s="12" t="str">
        <f t="shared" si="5"/>
        <v/>
      </c>
      <c r="Q44" s="1">
        <v>42</v>
      </c>
      <c r="R44" s="2" t="str">
        <f t="shared" si="12"/>
        <v>u</v>
      </c>
      <c r="S44" s="6" t="str">
        <f t="shared" si="13"/>
        <v>i</v>
      </c>
      <c r="T44" s="84" t="s">
        <v>134</v>
      </c>
      <c r="V44" s="11" t="str">
        <f xml:space="preserve"> INDEX($K$3:$K$44, MATCH(表格1_337[[#This Row],[鍵盤位置]], $J$3:$J$44,0))</f>
        <v>ㄧ</v>
      </c>
      <c r="W44" s="10" t="s">
        <v>1</v>
      </c>
      <c r="X44" s="9" t="s">
        <v>0</v>
      </c>
    </row>
    <row r="45" spans="5:24">
      <c r="E45" s="1" cm="1">
        <f t="array" ref="E45" xml:space="preserve"> ROW() - ROW($2:$2)</f>
        <v>43</v>
      </c>
      <c r="F45" s="8" t="str">
        <f t="shared" si="8"/>
        <v>I</v>
      </c>
      <c r="G45" s="8" t="str">
        <f t="shared" si="9"/>
        <v>U</v>
      </c>
      <c r="I45" s="1">
        <v>43</v>
      </c>
      <c r="J45" s="83" t="str">
        <f t="shared" si="10"/>
        <v>U</v>
      </c>
      <c r="K45" s="7" t="str">
        <f t="shared" si="11"/>
        <v>ㆪ</v>
      </c>
      <c r="O45" s="1"/>
      <c r="Q45" s="1">
        <v>43</v>
      </c>
      <c r="R45" s="2" t="str">
        <f t="shared" si="12"/>
        <v>U</v>
      </c>
      <c r="S45" s="6" t="str">
        <f t="shared" si="13"/>
        <v>I</v>
      </c>
      <c r="T45" s="84" t="s">
        <v>134</v>
      </c>
    </row>
    <row r="46" spans="5:24">
      <c r="E46" s="1" cm="1">
        <f t="array" ref="E46" xml:space="preserve"> ROW() - ROW($2:$2)</f>
        <v>44</v>
      </c>
      <c r="F46" s="8" t="str">
        <f t="shared" si="8"/>
        <v>u</v>
      </c>
      <c r="G46" s="8" t="str">
        <f t="shared" si="9"/>
        <v>j</v>
      </c>
      <c r="I46" s="1">
        <v>44</v>
      </c>
      <c r="J46" s="83" t="str">
        <f t="shared" si="10"/>
        <v>j</v>
      </c>
      <c r="K46" s="7" t="str">
        <f t="shared" si="11"/>
        <v>ㄨ</v>
      </c>
      <c r="Q46" s="1">
        <v>44</v>
      </c>
      <c r="R46" s="2" t="str">
        <f t="shared" si="12"/>
        <v>j</v>
      </c>
      <c r="S46" s="6" t="str">
        <f t="shared" si="13"/>
        <v>u</v>
      </c>
      <c r="T46" s="84" t="s">
        <v>135</v>
      </c>
      <c r="V46" s="85" t="str">
        <f xml:space="preserve"> _xlfn.CONCAT(S3:S23)</f>
        <v>pbPmtTnlkgKGhZJCSzjcs</v>
      </c>
    </row>
    <row r="47" spans="5:24">
      <c r="E47" s="1" cm="1">
        <f t="array" ref="E47" xml:space="preserve"> ROW() - ROW($2:$2)</f>
        <v>45</v>
      </c>
      <c r="F47" s="8" t="str">
        <f t="shared" si="8"/>
        <v>U</v>
      </c>
      <c r="G47" s="8" t="str">
        <f t="shared" si="9"/>
        <v>J</v>
      </c>
      <c r="I47" s="1">
        <v>45</v>
      </c>
      <c r="J47" s="83" t="str">
        <f t="shared" si="10"/>
        <v>J</v>
      </c>
      <c r="K47" s="7" t="str">
        <f t="shared" si="11"/>
        <v>ㆫ</v>
      </c>
      <c r="Q47" s="1">
        <v>45</v>
      </c>
      <c r="R47" s="2" t="str">
        <f t="shared" si="12"/>
        <v>J</v>
      </c>
      <c r="S47" s="6" t="str">
        <f t="shared" si="13"/>
        <v>U</v>
      </c>
      <c r="T47" s="84" t="s">
        <v>167</v>
      </c>
    </row>
    <row r="48" spans="5:24">
      <c r="E48" s="1" cm="1">
        <f t="array" ref="E48" xml:space="preserve"> ROW() - ROW($2:$2)</f>
        <v>46</v>
      </c>
      <c r="F48" s="8" t="str">
        <f t="shared" si="8"/>
        <v>1</v>
      </c>
      <c r="G48" s="8" t="str">
        <f t="shared" si="9"/>
        <v xml:space="preserve"> </v>
      </c>
      <c r="I48" s="1">
        <v>46</v>
      </c>
      <c r="J48" s="83" t="str">
        <f t="shared" si="10"/>
        <v xml:space="preserve"> </v>
      </c>
      <c r="K48" s="7" t="str">
        <f t="shared" si="11"/>
        <v xml:space="preserve"> </v>
      </c>
      <c r="Q48" s="1">
        <v>46</v>
      </c>
      <c r="R48" s="2" t="str">
        <f>G51</f>
        <v>b</v>
      </c>
      <c r="S48" s="6" t="str">
        <f>F51</f>
        <v>9</v>
      </c>
      <c r="T48" s="84" t="s">
        <v>194</v>
      </c>
    </row>
    <row r="49" spans="5:22">
      <c r="E49" s="1" cm="1">
        <f t="array" ref="E49" xml:space="preserve"> ROW() - ROW($2:$2)</f>
        <v>47</v>
      </c>
      <c r="F49" s="8" t="str">
        <f t="shared" si="8"/>
        <v>2</v>
      </c>
      <c r="G49" s="8" t="str">
        <f t="shared" si="9"/>
        <v>4</v>
      </c>
      <c r="I49" s="1">
        <v>47</v>
      </c>
      <c r="J49" s="83" t="str">
        <f t="shared" si="10"/>
        <v>4</v>
      </c>
      <c r="K49" s="7" t="str">
        <f t="shared" si="11"/>
        <v>ˋ</v>
      </c>
      <c r="Q49" s="1">
        <v>47</v>
      </c>
      <c r="R49" s="2" t="str">
        <f>G52</f>
        <v>t</v>
      </c>
      <c r="S49" s="6" t="str">
        <f>F52</f>
        <v>&gt;</v>
      </c>
      <c r="T49" s="84" t="s">
        <v>195</v>
      </c>
      <c r="V49" t="s">
        <v>260</v>
      </c>
    </row>
    <row r="50" spans="5:22">
      <c r="E50" s="1" cm="1">
        <f t="array" ref="E50" xml:space="preserve"> ROW() - ROW($2:$2)</f>
        <v>48</v>
      </c>
      <c r="F50" s="8" t="str">
        <f t="shared" si="8"/>
        <v>3</v>
      </c>
      <c r="G50" s="8" t="str">
        <f t="shared" si="9"/>
        <v>3</v>
      </c>
      <c r="I50" s="1">
        <v>48</v>
      </c>
      <c r="J50" s="83" t="str">
        <f t="shared" si="10"/>
        <v>3</v>
      </c>
      <c r="K50" s="7" t="str">
        <f t="shared" si="11"/>
        <v>˪</v>
      </c>
      <c r="Q50" s="1">
        <v>48</v>
      </c>
      <c r="R50" s="2" t="str">
        <f>G53</f>
        <v>g</v>
      </c>
      <c r="S50" s="6" t="str">
        <f>F53</f>
        <v>&lt;</v>
      </c>
      <c r="T50" s="84" t="s">
        <v>196</v>
      </c>
      <c r="V50">
        <f xml:space="preserve"> LEN(V49) - 2</f>
        <v>55</v>
      </c>
    </row>
    <row r="51" spans="5:22">
      <c r="E51" s="1" cm="1">
        <f t="array" ref="E51" xml:space="preserve"> ROW() - ROW($2:$2)</f>
        <v>49</v>
      </c>
      <c r="F51" s="8" t="str">
        <f t="shared" si="8"/>
        <v>9</v>
      </c>
      <c r="G51" s="8" t="str">
        <f t="shared" si="9"/>
        <v>b</v>
      </c>
      <c r="I51" s="1">
        <v>49</v>
      </c>
      <c r="J51" s="83" t="str">
        <f t="shared" si="10"/>
        <v>b</v>
      </c>
      <c r="K51" s="7" t="str">
        <f t="shared" si="11"/>
        <v>ㆴ</v>
      </c>
      <c r="Q51" s="1">
        <v>49</v>
      </c>
      <c r="R51" s="2" t="str">
        <f>G54</f>
        <v>z</v>
      </c>
      <c r="S51" s="6" t="str">
        <f>F54</f>
        <v>4</v>
      </c>
      <c r="T51" s="84" t="s">
        <v>197</v>
      </c>
    </row>
    <row r="52" spans="5:22">
      <c r="E52" s="1" cm="1">
        <f t="array" ref="E52" xml:space="preserve"> ROW() - ROW($2:$2)</f>
        <v>50</v>
      </c>
      <c r="F52" s="8" t="str">
        <f t="shared" si="8"/>
        <v>&gt;</v>
      </c>
      <c r="G52" s="8" t="str">
        <f t="shared" si="9"/>
        <v>t</v>
      </c>
      <c r="I52" s="1">
        <v>50</v>
      </c>
      <c r="J52" s="83" t="str">
        <f t="shared" si="10"/>
        <v>t</v>
      </c>
      <c r="K52" s="7" t="str">
        <f t="shared" si="11"/>
        <v>ㆵ</v>
      </c>
      <c r="Q52" s="1">
        <v>50</v>
      </c>
      <c r="R52" s="2" t="str">
        <f>G48</f>
        <v xml:space="preserve"> </v>
      </c>
      <c r="S52" s="6" t="str">
        <f>F48</f>
        <v>1</v>
      </c>
      <c r="T52" s="84" t="s">
        <v>158</v>
      </c>
      <c r="V52" t="str">
        <f xml:space="preserve"> _xlfn.CONCAT(鍵盤位置)</f>
        <v>1!qa2wsxeEdDcrRfvyYhn8*iIkoO9(lL,&lt;m0p;:/-uUjJbtgz 43657</v>
      </c>
    </row>
    <row r="53" spans="5:22">
      <c r="E53" s="1" cm="1">
        <f t="array" ref="E53" xml:space="preserve"> ROW() - ROW($2:$2)</f>
        <v>51</v>
      </c>
      <c r="F53" s="8" t="str">
        <f t="shared" si="8"/>
        <v>&lt;</v>
      </c>
      <c r="G53" s="8" t="str">
        <f t="shared" si="9"/>
        <v>g</v>
      </c>
      <c r="I53" s="1">
        <v>51</v>
      </c>
      <c r="J53" s="83" t="str">
        <f t="shared" si="10"/>
        <v>g</v>
      </c>
      <c r="K53" s="7" t="str">
        <f t="shared" si="11"/>
        <v>ㆻ</v>
      </c>
      <c r="Q53" s="1">
        <v>51</v>
      </c>
      <c r="R53" s="2" t="str">
        <f>G49</f>
        <v>4</v>
      </c>
      <c r="S53" s="6" t="str">
        <f>F49</f>
        <v>2</v>
      </c>
      <c r="T53" s="84" t="s">
        <v>161</v>
      </c>
    </row>
    <row r="54" spans="5:22">
      <c r="E54" s="1" cm="1">
        <f t="array" ref="E54" xml:space="preserve"> ROW() - ROW($2:$2)</f>
        <v>52</v>
      </c>
      <c r="F54" s="8" t="str">
        <f t="shared" si="8"/>
        <v>4</v>
      </c>
      <c r="G54" s="8" t="str">
        <f t="shared" si="9"/>
        <v>z</v>
      </c>
      <c r="I54" s="1">
        <v>52</v>
      </c>
      <c r="J54" s="83" t="str">
        <f t="shared" si="10"/>
        <v>z</v>
      </c>
      <c r="K54" s="7" t="str">
        <f t="shared" si="11"/>
        <v>ㆷ</v>
      </c>
      <c r="Q54" s="1">
        <v>52</v>
      </c>
      <c r="R54" s="2" t="str">
        <f>G50</f>
        <v>3</v>
      </c>
      <c r="S54" s="6" t="str">
        <f>F50</f>
        <v>3</v>
      </c>
      <c r="T54" s="84" t="s">
        <v>163</v>
      </c>
    </row>
    <row r="55" spans="5:22">
      <c r="E55" s="1" cm="1">
        <f t="array" ref="E55" xml:space="preserve"> ROW() - ROW($2:$2)</f>
        <v>53</v>
      </c>
      <c r="F55" s="8" t="str">
        <f t="shared" si="8"/>
        <v>5</v>
      </c>
      <c r="G55" s="8" t="str">
        <f t="shared" si="9"/>
        <v>6</v>
      </c>
      <c r="I55" s="1">
        <v>53</v>
      </c>
      <c r="J55" s="83" t="str">
        <f t="shared" si="10"/>
        <v>6</v>
      </c>
      <c r="K55" s="7" t="str">
        <f t="shared" si="11"/>
        <v>ˊ</v>
      </c>
      <c r="Q55" s="1">
        <v>53</v>
      </c>
      <c r="R55" s="2" t="str">
        <f>G55</f>
        <v>6</v>
      </c>
      <c r="S55" s="6" t="str">
        <f>F55</f>
        <v>5</v>
      </c>
      <c r="T55" s="84" t="s">
        <v>160</v>
      </c>
    </row>
    <row r="56" spans="5:22">
      <c r="E56" s="1" cm="1">
        <f t="array" ref="E56" xml:space="preserve"> ROW() - ROW($2:$2)</f>
        <v>54</v>
      </c>
      <c r="F56" s="8" t="str">
        <f t="shared" si="8"/>
        <v>7</v>
      </c>
      <c r="G56" s="8" t="str">
        <f t="shared" si="9"/>
        <v>5</v>
      </c>
      <c r="I56" s="1">
        <v>54</v>
      </c>
      <c r="J56" s="83" t="str">
        <f t="shared" si="10"/>
        <v>5</v>
      </c>
      <c r="K56" s="7" t="str">
        <f t="shared" si="11"/>
        <v>˫</v>
      </c>
      <c r="Q56" s="1">
        <v>54</v>
      </c>
      <c r="R56" s="2" t="str">
        <f>G56</f>
        <v>5</v>
      </c>
      <c r="S56" s="6" t="str">
        <f>F56</f>
        <v>7</v>
      </c>
      <c r="T56" s="84" t="s">
        <v>164</v>
      </c>
    </row>
    <row r="57" spans="5:22">
      <c r="E57" s="1" cm="1">
        <f t="array" ref="E57" xml:space="preserve"> ROW() - ROW($2:$2)</f>
        <v>55</v>
      </c>
      <c r="F57" s="8" t="str">
        <f t="shared" si="8"/>
        <v>8</v>
      </c>
      <c r="G57" s="8" t="str">
        <f t="shared" si="9"/>
        <v>7</v>
      </c>
      <c r="I57" s="1">
        <v>55</v>
      </c>
      <c r="J57" s="83" t="str">
        <f t="shared" si="10"/>
        <v>7</v>
      </c>
      <c r="K57" s="7" t="str">
        <f t="shared" si="11"/>
        <v>˙</v>
      </c>
      <c r="Q57" s="1">
        <v>55</v>
      </c>
      <c r="R57" s="2" t="str">
        <f>G57</f>
        <v>7</v>
      </c>
      <c r="S57" s="6" t="str">
        <f>F57</f>
        <v>8</v>
      </c>
      <c r="T57" s="84" t="s">
        <v>162</v>
      </c>
    </row>
    <row r="58" spans="5:22">
      <c r="R58" s="2"/>
      <c r="S58" s="6"/>
      <c r="T58" s="2"/>
    </row>
    <row r="59" spans="5:22">
      <c r="R59" s="2"/>
      <c r="S59" s="6"/>
      <c r="T59" s="2"/>
    </row>
    <row r="60" spans="5:22">
      <c r="R60" s="2"/>
      <c r="S60" s="6"/>
      <c r="T60" s="2"/>
    </row>
    <row r="61" spans="5:22">
      <c r="R61" s="2"/>
      <c r="S61" s="6"/>
      <c r="T61" s="2"/>
    </row>
    <row r="62" spans="5:22">
      <c r="R62" s="2"/>
      <c r="S62" s="6"/>
      <c r="T62" s="2"/>
    </row>
    <row r="63" spans="5:22">
      <c r="R63" s="2"/>
      <c r="S63" s="6"/>
      <c r="T63" s="2"/>
    </row>
    <row r="64" spans="5:22">
      <c r="R64" s="2"/>
      <c r="S64" s="6"/>
      <c r="T64" s="2"/>
    </row>
    <row r="65" spans="18:20">
      <c r="R65" s="2"/>
      <c r="S65" s="6"/>
      <c r="T65" s="2"/>
    </row>
    <row r="66" spans="18:20">
      <c r="R66" s="2"/>
      <c r="S66" s="6"/>
      <c r="T66" s="2"/>
    </row>
    <row r="67" spans="18:20">
      <c r="R67" s="2"/>
      <c r="S67" s="6"/>
      <c r="T67" s="2"/>
    </row>
    <row r="68" spans="18:20">
      <c r="R68" s="2"/>
      <c r="S68" s="6"/>
      <c r="T68" s="2"/>
    </row>
    <row r="69" spans="18:20">
      <c r="R69" s="2"/>
      <c r="S69" s="6"/>
      <c r="T69" s="2"/>
    </row>
    <row r="70" spans="18:20">
      <c r="R70" s="2"/>
      <c r="S70" s="6"/>
      <c r="T70" s="2"/>
    </row>
    <row r="72" spans="18:20">
      <c r="S72" s="1" t="str">
        <f xml:space="preserve"> _xlfn.CONCAT(按鍵編碼)</f>
        <v>pbPmtTnlkgKGhZJCSzjcsaAOQoeEyYxX{}M0N[]RriIuU9&gt;&lt;4123578</v>
      </c>
    </row>
    <row r="73" spans="18:20">
      <c r="S73" s="1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0">
      <c r="S74" s="5" t="str">
        <f xml:space="preserve"> "xlit|" &amp; S72 &amp; "|" &amp; S73 &amp; "|"</f>
        <v>xlit|pbPmtTnlkgKGhZJCSzjcsaAOQoeEyYxX{}M0N[]RriIuU9&gt;&lt;4123578|ㄅㆠㄆㄇㄉㄊㄋㄌㄍㆣㄎㄫㄏㄐㆢㄑㄒㄗㆡㄘㄙㄚㆩㆦㆧㄜㆤㆤㄞㆮㄠㆯㆰㆱㆬㄢㄣㄤㆲㄥㆭㄧㄧㄨㆫㆴㆵㆻㆷ ˋ˪ˊ˫˙|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0C01-24FF-4048-9AD3-D8E27CE96040}">
  <sheetPr>
    <tabColor rgb="FFFF0000"/>
  </sheetPr>
  <dimension ref="A1:X74"/>
  <sheetViews>
    <sheetView topLeftCell="A28" workbookViewId="0">
      <selection activeCell="A11" sqref="A11"/>
    </sheetView>
  </sheetViews>
  <sheetFormatPr defaultRowHeight="30" outlineLevelCol="1"/>
  <cols>
    <col min="1" max="1" width="99.19921875" style="1" customWidth="1"/>
    <col min="2" max="2" width="4.59765625" style="1" bestFit="1" customWidth="1"/>
    <col min="3" max="3" width="6.5" style="1" customWidth="1"/>
    <col min="4" max="4" width="5.09765625" style="1" customWidth="1"/>
    <col min="5" max="5" width="4.69921875" style="1" customWidth="1" outlineLevel="1"/>
    <col min="6" max="7" width="10.09765625" style="3" customWidth="1" outlineLevel="1"/>
    <col min="8" max="8" width="5.09765625" style="1" customWidth="1"/>
    <col min="9" max="9" width="4.69921875" style="1" customWidth="1"/>
    <col min="10" max="10" width="10.09765625" style="4" customWidth="1"/>
    <col min="11" max="11" width="10.09765625" style="3" customWidth="1"/>
    <col min="12" max="12" width="5.09765625" style="1" hidden="1" customWidth="1" outlineLevel="1"/>
    <col min="13" max="13" width="4.69921875" style="1" hidden="1" customWidth="1" outlineLevel="1"/>
    <col min="14" max="14" width="10.09765625" style="1" hidden="1" customWidth="1" outlineLevel="1"/>
    <col min="15" max="15" width="10.09765625" style="2" hidden="1" customWidth="1" outlineLevel="1"/>
    <col min="16" max="16" width="4.5" style="1" customWidth="1" collapsed="1"/>
    <col min="17" max="17" width="4.69921875" style="1" customWidth="1"/>
    <col min="18" max="21" width="9.796875" style="1" customWidth="1"/>
    <col min="22" max="22" width="9.796875" customWidth="1"/>
    <col min="23" max="23" width="11.796875" style="1" customWidth="1"/>
    <col min="24" max="26" width="10.3984375" style="1" customWidth="1"/>
    <col min="27" max="16384" width="8.796875" style="1"/>
  </cols>
  <sheetData>
    <row r="1" spans="1:24">
      <c r="A1" s="22" t="s">
        <v>97</v>
      </c>
      <c r="E1" s="22" t="s">
        <v>96</v>
      </c>
      <c r="I1" s="22" t="s">
        <v>70</v>
      </c>
      <c r="M1" s="22" t="s">
        <v>95</v>
      </c>
      <c r="Q1" s="36" t="s">
        <v>94</v>
      </c>
      <c r="V1" s="1"/>
    </row>
    <row r="2" spans="1:24" ht="25.5">
      <c r="A2" s="35" t="str">
        <f xml:space="preserve"> "- 'xlit|" &amp; A6 &amp; "|" &amp; A7 &amp; "|'"</f>
        <v>- 'xlit|pbPmtTnlkgKGhZJCSzjcsaAOQoeEyYxX{}M@N[]RriIuU1239&gt;&lt;4570|1!qa2wsxeEdDcrRfvyYhn8*iIkoO9(lL,&lt;m0p;:/-uUjJ 43btgz657|'</v>
      </c>
      <c r="F2" s="34" t="s">
        <v>90</v>
      </c>
      <c r="G2" s="33" t="s">
        <v>92</v>
      </c>
      <c r="J2" s="34" t="s">
        <v>92</v>
      </c>
      <c r="K2" s="33" t="s">
        <v>91</v>
      </c>
      <c r="N2" s="34" t="s">
        <v>90</v>
      </c>
      <c r="O2" s="33" t="s">
        <v>89</v>
      </c>
      <c r="R2" s="32" t="s">
        <v>88</v>
      </c>
      <c r="S2" s="32" t="s">
        <v>87</v>
      </c>
      <c r="T2" s="32" t="s">
        <v>86</v>
      </c>
      <c r="V2" s="31" t="s">
        <v>86</v>
      </c>
      <c r="W2" s="31" t="s">
        <v>85</v>
      </c>
      <c r="X2" s="30" t="s">
        <v>84</v>
      </c>
    </row>
    <row r="3" spans="1:24">
      <c r="A3" s="1">
        <f xml:space="preserve"> SEARCH("|",$A$2,1)</f>
        <v>8</v>
      </c>
      <c r="E3" s="1">
        <v>1</v>
      </c>
      <c r="F3" s="26" t="s">
        <v>83</v>
      </c>
      <c r="G3" s="25" t="s">
        <v>208</v>
      </c>
      <c r="I3" s="1">
        <v>1</v>
      </c>
      <c r="J3" s="83" t="s">
        <v>208</v>
      </c>
      <c r="K3" s="7" t="s">
        <v>101</v>
      </c>
      <c r="M3" s="1">
        <v>1</v>
      </c>
      <c r="N3" s="12" t="str">
        <f t="shared" ref="N3:N44" si="0" xml:space="preserve"> IFERROR( MID($A$21, $E3, 1), "")</f>
        <v>-</v>
      </c>
      <c r="O3" s="12" t="str">
        <f t="shared" ref="O3:O44" si="1" xml:space="preserve"> IFERROR( MID($A$22, $E3, 1), "")</f>
        <v>8</v>
      </c>
      <c r="Q3" s="1">
        <v>1</v>
      </c>
      <c r="R3" s="2" t="str">
        <f>G3</f>
        <v>1</v>
      </c>
      <c r="S3" s="6" t="str">
        <f t="shared" ref="S3:S47" si="2">F3</f>
        <v>p</v>
      </c>
      <c r="T3" s="84" t="s">
        <v>101</v>
      </c>
      <c r="V3" s="11" t="str">
        <f xml:space="preserve"> INDEX($K$3:$K$44, MATCH(表格1_3374[[#This Row],[鍵盤位置]], $J$3:$J$44,0))</f>
        <v>ㄅ</v>
      </c>
      <c r="W3" s="15" t="s">
        <v>83</v>
      </c>
      <c r="X3" s="9" t="s">
        <v>82</v>
      </c>
    </row>
    <row r="4" spans="1:24">
      <c r="A4" s="1">
        <f xml:space="preserve"> SEARCH("|",$A$2,A3+1)</f>
        <v>64</v>
      </c>
      <c r="E4" s="1">
        <v>2</v>
      </c>
      <c r="F4" s="24" t="s">
        <v>78</v>
      </c>
      <c r="G4" s="23" t="s">
        <v>106</v>
      </c>
      <c r="I4" s="1">
        <v>2</v>
      </c>
      <c r="J4" s="83" t="s">
        <v>106</v>
      </c>
      <c r="K4" s="7" t="s">
        <v>105</v>
      </c>
      <c r="M4" s="1">
        <v>2</v>
      </c>
      <c r="N4" s="12" t="str">
        <f t="shared" si="0"/>
        <v xml:space="preserve"> </v>
      </c>
      <c r="O4" s="12" t="str">
        <f t="shared" si="1"/>
        <v/>
      </c>
      <c r="Q4" s="1">
        <v>2</v>
      </c>
      <c r="R4" s="2" t="str">
        <f t="shared" ref="R4:R47" si="3">G4</f>
        <v>!</v>
      </c>
      <c r="S4" s="6" t="str">
        <f t="shared" si="2"/>
        <v>b</v>
      </c>
      <c r="T4" s="84" t="s">
        <v>105</v>
      </c>
      <c r="V4" s="11" t="str">
        <f xml:space="preserve"> INDEX($K$3:$K$44, MATCH(表格1_3374[[#This Row],[鍵盤位置]], $J$3:$J$44,0))</f>
        <v>ㆠ</v>
      </c>
      <c r="W4" s="15" t="s">
        <v>81</v>
      </c>
      <c r="X4" s="9" t="s">
        <v>80</v>
      </c>
    </row>
    <row r="5" spans="1:24">
      <c r="A5" s="1">
        <f xml:space="preserve"> SEARCH("|",$A$2,A4+1)</f>
        <v>120</v>
      </c>
      <c r="E5" s="1">
        <v>3</v>
      </c>
      <c r="F5" s="24" t="s">
        <v>103</v>
      </c>
      <c r="G5" s="23" t="s">
        <v>104</v>
      </c>
      <c r="I5" s="1">
        <v>3</v>
      </c>
      <c r="J5" s="83" t="s">
        <v>104</v>
      </c>
      <c r="K5" s="7" t="s">
        <v>102</v>
      </c>
      <c r="M5" s="1">
        <v>3</v>
      </c>
      <c r="N5" s="12" t="str">
        <f t="shared" si="0"/>
        <v>'</v>
      </c>
      <c r="O5" s="12" t="str">
        <f t="shared" si="1"/>
        <v/>
      </c>
      <c r="Q5" s="1">
        <v>3</v>
      </c>
      <c r="R5" s="2" t="str">
        <f t="shared" si="3"/>
        <v>q</v>
      </c>
      <c r="S5" s="6" t="str">
        <f t="shared" si="2"/>
        <v>P</v>
      </c>
      <c r="T5" s="84" t="s">
        <v>102</v>
      </c>
      <c r="V5" s="11" t="str">
        <f xml:space="preserve"> INDEX($K$3:$K$44, MATCH(表格1_3374[[#This Row],[鍵盤位置]], $J$3:$J$44,0))</f>
        <v>ㄆ</v>
      </c>
      <c r="W5" s="15" t="s">
        <v>37</v>
      </c>
      <c r="X5" s="9" t="s">
        <v>79</v>
      </c>
    </row>
    <row r="6" spans="1:24">
      <c r="A6" s="14" t="str">
        <f xml:space="preserve"> _xlfn.CONCAT(F3:F57)</f>
        <v>pbPmtTnlkgKGhZJCSzjcsaAOQoeEyYxX{}M@N[]RriIuU1239&gt;&lt;4570</v>
      </c>
      <c r="B6" s="13">
        <f xml:space="preserve"> LEN(A6)</f>
        <v>55</v>
      </c>
      <c r="E6" s="1">
        <v>4</v>
      </c>
      <c r="F6" s="17" t="s">
        <v>37</v>
      </c>
      <c r="G6" s="16" t="s">
        <v>35</v>
      </c>
      <c r="I6" s="1">
        <v>4</v>
      </c>
      <c r="J6" s="83" t="s">
        <v>35</v>
      </c>
      <c r="K6" s="7" t="s">
        <v>107</v>
      </c>
      <c r="M6" s="1">
        <v>4</v>
      </c>
      <c r="N6" s="12" t="str">
        <f t="shared" si="0"/>
        <v>x</v>
      </c>
      <c r="O6" s="12" t="str">
        <f t="shared" si="1"/>
        <v/>
      </c>
      <c r="Q6" s="1">
        <v>4</v>
      </c>
      <c r="R6" s="2" t="str">
        <f t="shared" si="3"/>
        <v>a</v>
      </c>
      <c r="S6" s="6" t="str">
        <f t="shared" si="2"/>
        <v>m</v>
      </c>
      <c r="T6" s="84" t="s">
        <v>107</v>
      </c>
      <c r="V6" s="11" t="str">
        <f xml:space="preserve"> INDEX($K$3:$K$44, MATCH(表格1_3374[[#This Row],[鍵盤位置]], $J$3:$J$44,0))</f>
        <v>ㄇ</v>
      </c>
      <c r="W6" s="15" t="s">
        <v>78</v>
      </c>
      <c r="X6" s="9" t="s">
        <v>77</v>
      </c>
    </row>
    <row r="7" spans="1:24">
      <c r="A7" s="14" t="str">
        <f>_xlfn.CONCAT(G3:G57)</f>
        <v>1!qa2wsxeEdDcrRfvyYhn8*iIkoO9(lL,&lt;m0p;:/-uUjJ 43btgz657</v>
      </c>
      <c r="B7" s="13">
        <f xml:space="preserve"> LEN(A7)</f>
        <v>55</v>
      </c>
      <c r="E7" s="1">
        <v>5</v>
      </c>
      <c r="F7" s="24" t="s">
        <v>76</v>
      </c>
      <c r="G7" s="23" t="s">
        <v>209</v>
      </c>
      <c r="I7" s="1">
        <v>5</v>
      </c>
      <c r="J7" s="83" t="s">
        <v>209</v>
      </c>
      <c r="K7" s="7" t="s">
        <v>108</v>
      </c>
      <c r="M7" s="1">
        <v>5</v>
      </c>
      <c r="N7" s="12" t="str">
        <f t="shared" si="0"/>
        <v>l</v>
      </c>
      <c r="O7" s="12" t="str">
        <f t="shared" si="1"/>
        <v/>
      </c>
      <c r="Q7" s="1">
        <v>5</v>
      </c>
      <c r="R7" s="2" t="str">
        <f t="shared" si="3"/>
        <v>2</v>
      </c>
      <c r="S7" s="6" t="str">
        <f t="shared" si="2"/>
        <v>t</v>
      </c>
      <c r="T7" s="84" t="s">
        <v>108</v>
      </c>
      <c r="V7" s="11" t="str">
        <f xml:space="preserve"> INDEX($K$3:$K$44, MATCH(表格1_3374[[#This Row],[鍵盤位置]], $J$3:$J$44,0))</f>
        <v>ㄉ</v>
      </c>
      <c r="W7" s="15" t="s">
        <v>76</v>
      </c>
      <c r="X7" s="9" t="s">
        <v>75</v>
      </c>
    </row>
    <row r="8" spans="1:24">
      <c r="E8" s="1">
        <v>6</v>
      </c>
      <c r="F8" s="24" t="s">
        <v>110</v>
      </c>
      <c r="G8" s="23" t="s">
        <v>111</v>
      </c>
      <c r="I8" s="1">
        <v>6</v>
      </c>
      <c r="J8" s="83" t="s">
        <v>111</v>
      </c>
      <c r="K8" s="7" t="s">
        <v>109</v>
      </c>
      <c r="M8" s="1">
        <v>6</v>
      </c>
      <c r="N8" s="12" t="str">
        <f t="shared" si="0"/>
        <v>i</v>
      </c>
      <c r="O8" s="12" t="str">
        <f t="shared" si="1"/>
        <v/>
      </c>
      <c r="Q8" s="1">
        <v>6</v>
      </c>
      <c r="R8" s="2" t="str">
        <f t="shared" si="3"/>
        <v>w</v>
      </c>
      <c r="S8" s="6" t="str">
        <f t="shared" si="2"/>
        <v>T</v>
      </c>
      <c r="T8" s="84" t="s">
        <v>109</v>
      </c>
      <c r="V8" s="11" t="str">
        <f xml:space="preserve"> INDEX($K$3:$K$44, MATCH(表格1_3374[[#This Row],[鍵盤位置]], $J$3:$J$44,0))</f>
        <v>ㄊ</v>
      </c>
      <c r="W8" s="15" t="s">
        <v>74</v>
      </c>
      <c r="X8" s="9" t="s">
        <v>73</v>
      </c>
    </row>
    <row r="9" spans="1:24">
      <c r="E9" s="1">
        <v>7</v>
      </c>
      <c r="F9" s="24" t="s">
        <v>72</v>
      </c>
      <c r="G9" s="23" t="s">
        <v>43</v>
      </c>
      <c r="I9" s="1">
        <v>7</v>
      </c>
      <c r="J9" s="83" t="s">
        <v>43</v>
      </c>
      <c r="K9" s="7" t="s">
        <v>112</v>
      </c>
      <c r="M9" s="1">
        <v>7</v>
      </c>
      <c r="N9" s="12" t="str">
        <f t="shared" si="0"/>
        <v>t</v>
      </c>
      <c r="O9" s="12" t="str">
        <f t="shared" si="1"/>
        <v/>
      </c>
      <c r="Q9" s="1">
        <v>7</v>
      </c>
      <c r="R9" s="2" t="str">
        <f t="shared" si="3"/>
        <v>s</v>
      </c>
      <c r="S9" s="6" t="str">
        <f t="shared" si="2"/>
        <v>n</v>
      </c>
      <c r="T9" s="84" t="s">
        <v>112</v>
      </c>
      <c r="V9" s="11" t="str">
        <f xml:space="preserve"> INDEX($K$3:$K$44, MATCH(表格1_3374[[#This Row],[鍵盤位置]], $J$3:$J$44,0))</f>
        <v>ㄋ</v>
      </c>
      <c r="W9" s="15" t="s">
        <v>72</v>
      </c>
      <c r="X9" s="9" t="s">
        <v>71</v>
      </c>
    </row>
    <row r="10" spans="1:24">
      <c r="A10" s="22" t="s">
        <v>70</v>
      </c>
      <c r="E10" s="1">
        <v>8</v>
      </c>
      <c r="F10" s="28" t="s">
        <v>69</v>
      </c>
      <c r="G10" s="27" t="s">
        <v>114</v>
      </c>
      <c r="I10" s="1">
        <v>8</v>
      </c>
      <c r="J10" s="83" t="s">
        <v>114</v>
      </c>
      <c r="K10" s="7" t="s">
        <v>113</v>
      </c>
      <c r="M10" s="1">
        <v>8</v>
      </c>
      <c r="N10" s="12" t="str">
        <f t="shared" si="0"/>
        <v>|</v>
      </c>
      <c r="O10" s="12" t="str">
        <f t="shared" si="1"/>
        <v/>
      </c>
      <c r="Q10" s="1">
        <v>8</v>
      </c>
      <c r="R10" s="2" t="str">
        <f t="shared" si="3"/>
        <v>x</v>
      </c>
      <c r="S10" s="6" t="str">
        <f t="shared" si="2"/>
        <v>l</v>
      </c>
      <c r="T10" s="84" t="s">
        <v>113</v>
      </c>
      <c r="V10" s="11" t="str">
        <f xml:space="preserve"> INDEX($K$3:$K$44, MATCH(表格1_3374[[#This Row],[鍵盤位置]], $J$3:$J$44,0))</f>
        <v>ㄌ</v>
      </c>
      <c r="W10" s="15" t="s">
        <v>69</v>
      </c>
      <c r="X10" s="9" t="s">
        <v>68</v>
      </c>
    </row>
    <row r="11" spans="1:24">
      <c r="A11" s="35" t="str">
        <f xml:space="preserve"> "- 'xlit|" &amp; A15 &amp; "|" &amp; A16 &amp; "|'"</f>
        <v>- 'xlit|1!qa2wsxeEdDcrRfvyYhn8*iIkoO9(lL,&lt;m0p;:/-uUjJ 43btgz657|ㄅㆠㄆㄇㄉㄊㄋㄌㄍㆣㄎㄫㄏㄐㆢㄑㄒㄗㆡㄘㄙㄚㆩㆦㆧㄜㆤㆥㄞㆮㄠㆯㆰㆱㆬㄢㄣㄤㆲㄥㆭㄧㆪㄨㆫ ˋ˪ㆴㆵㆻㆷˊ˫˙|'</v>
      </c>
      <c r="E11" s="1">
        <v>9</v>
      </c>
      <c r="F11" s="26" t="s">
        <v>66</v>
      </c>
      <c r="G11" s="25" t="s">
        <v>27</v>
      </c>
      <c r="I11" s="1">
        <v>9</v>
      </c>
      <c r="J11" s="83" t="s">
        <v>27</v>
      </c>
      <c r="K11" s="7" t="s">
        <v>115</v>
      </c>
      <c r="M11" s="1">
        <v>9</v>
      </c>
      <c r="N11" s="12" t="str">
        <f t="shared" si="0"/>
        <v>p</v>
      </c>
      <c r="O11" s="12" t="str">
        <f t="shared" si="1"/>
        <v/>
      </c>
      <c r="Q11" s="1">
        <v>9</v>
      </c>
      <c r="R11" s="2" t="str">
        <f t="shared" si="3"/>
        <v>e</v>
      </c>
      <c r="S11" s="6" t="str">
        <f t="shared" si="2"/>
        <v>k</v>
      </c>
      <c r="T11" s="84" t="s">
        <v>115</v>
      </c>
      <c r="V11" s="11" t="str">
        <f xml:space="preserve"> INDEX($K$3:$K$44, MATCH(表格1_3374[[#This Row],[鍵盤位置]], $J$3:$J$44,0))</f>
        <v>ㄍ</v>
      </c>
      <c r="W11" s="15" t="s">
        <v>66</v>
      </c>
      <c r="X11" s="9" t="s">
        <v>65</v>
      </c>
    </row>
    <row r="12" spans="1:24">
      <c r="A12" s="1">
        <f xml:space="preserve"> SEARCH("|",$A$11,1)</f>
        <v>8</v>
      </c>
      <c r="E12" s="1">
        <v>10</v>
      </c>
      <c r="F12" s="24" t="s">
        <v>54</v>
      </c>
      <c r="G12" s="23" t="s">
        <v>120</v>
      </c>
      <c r="I12" s="1">
        <v>10</v>
      </c>
      <c r="J12" s="83" t="s">
        <v>120</v>
      </c>
      <c r="K12" s="7" t="s">
        <v>119</v>
      </c>
      <c r="M12" s="1">
        <v>10</v>
      </c>
      <c r="N12" s="12" t="str">
        <f t="shared" si="0"/>
        <v>b</v>
      </c>
      <c r="O12" s="12" t="str">
        <f t="shared" si="1"/>
        <v/>
      </c>
      <c r="Q12" s="1">
        <v>10</v>
      </c>
      <c r="R12" s="2" t="str">
        <f t="shared" si="3"/>
        <v>E</v>
      </c>
      <c r="S12" s="6" t="str">
        <f t="shared" si="2"/>
        <v>g</v>
      </c>
      <c r="T12" s="84" t="s">
        <v>119</v>
      </c>
      <c r="V12" s="11" t="str">
        <f xml:space="preserve"> INDEX($K$3:$K$44, MATCH(表格1_3374[[#This Row],[鍵盤位置]], $J$3:$J$44,0))</f>
        <v>ㄍ</v>
      </c>
      <c r="W12" s="15" t="s">
        <v>64</v>
      </c>
      <c r="X12" s="9" t="s">
        <v>63</v>
      </c>
    </row>
    <row r="13" spans="1:24">
      <c r="A13" s="1">
        <f xml:space="preserve"> SEARCH("|",$A$11,A12+1)</f>
        <v>64</v>
      </c>
      <c r="E13" s="1">
        <v>11</v>
      </c>
      <c r="F13" s="28" t="s">
        <v>117</v>
      </c>
      <c r="G13" s="27" t="s">
        <v>118</v>
      </c>
      <c r="I13" s="1">
        <v>11</v>
      </c>
      <c r="J13" s="83" t="s">
        <v>118</v>
      </c>
      <c r="K13" s="7" t="s">
        <v>116</v>
      </c>
      <c r="M13" s="1">
        <v>11</v>
      </c>
      <c r="N13" s="12" t="str">
        <f t="shared" si="0"/>
        <v>P</v>
      </c>
      <c r="O13" s="12" t="str">
        <f t="shared" si="1"/>
        <v/>
      </c>
      <c r="Q13" s="1">
        <v>11</v>
      </c>
      <c r="R13" s="2" t="str">
        <f t="shared" si="3"/>
        <v>d</v>
      </c>
      <c r="S13" s="6" t="str">
        <f t="shared" si="2"/>
        <v>K</v>
      </c>
      <c r="T13" s="84" t="s">
        <v>116</v>
      </c>
      <c r="V13" s="11" t="str">
        <f xml:space="preserve"> INDEX($K$3:$K$44, MATCH(表格1_3374[[#This Row],[鍵盤位置]], $J$3:$J$44,0))</f>
        <v>ㄎ</v>
      </c>
      <c r="W13" s="15" t="s">
        <v>62</v>
      </c>
      <c r="X13" s="9" t="s">
        <v>61</v>
      </c>
    </row>
    <row r="14" spans="1:24">
      <c r="A14" s="1">
        <f xml:space="preserve"> SEARCH("|",$A$11,A13+1)</f>
        <v>120</v>
      </c>
      <c r="E14" s="1">
        <v>12</v>
      </c>
      <c r="F14" s="26" t="s">
        <v>210</v>
      </c>
      <c r="G14" s="25" t="s">
        <v>142</v>
      </c>
      <c r="I14" s="1">
        <v>12</v>
      </c>
      <c r="J14" s="83" t="s">
        <v>142</v>
      </c>
      <c r="K14" s="7" t="s">
        <v>121</v>
      </c>
      <c r="M14" s="1">
        <v>12</v>
      </c>
      <c r="N14" s="12" t="str">
        <f t="shared" si="0"/>
        <v>m</v>
      </c>
      <c r="O14" s="12" t="str">
        <f t="shared" si="1"/>
        <v/>
      </c>
      <c r="Q14" s="1">
        <v>12</v>
      </c>
      <c r="R14" s="2" t="str">
        <f t="shared" si="3"/>
        <v>D</v>
      </c>
      <c r="S14" s="6" t="str">
        <f t="shared" si="2"/>
        <v>G</v>
      </c>
      <c r="T14" s="84" t="s">
        <v>121</v>
      </c>
      <c r="V14" s="11" t="str">
        <f xml:space="preserve"> INDEX($K$3:$K$44, MATCH(表格1_3374[[#This Row],[鍵盤位置]], $J$3:$J$44,0))</f>
        <v>ㄎ</v>
      </c>
      <c r="W14" s="15" t="s">
        <v>60</v>
      </c>
      <c r="X14" s="9" t="s">
        <v>59</v>
      </c>
    </row>
    <row r="15" spans="1:24">
      <c r="A15" s="14" t="str">
        <f xml:space="preserve"> _xlfn.CONCAT(J3:J57)</f>
        <v>1!qa2wsxeEdDcrRfvyYhn8*iIkoO9(lL,&lt;m0p;:/-uUjJ 43btgz657</v>
      </c>
      <c r="B15" s="13">
        <f xml:space="preserve"> LEN(A15)</f>
        <v>55</v>
      </c>
      <c r="E15" s="1">
        <v>13</v>
      </c>
      <c r="F15" s="24" t="s">
        <v>62</v>
      </c>
      <c r="G15" s="23" t="s">
        <v>124</v>
      </c>
      <c r="I15" s="1">
        <v>13</v>
      </c>
      <c r="J15" s="83" t="s">
        <v>124</v>
      </c>
      <c r="K15" s="7" t="s">
        <v>133</v>
      </c>
      <c r="M15" s="1">
        <v>13</v>
      </c>
      <c r="N15" s="12" t="str">
        <f t="shared" si="0"/>
        <v>t</v>
      </c>
      <c r="O15" s="12" t="str">
        <f t="shared" si="1"/>
        <v/>
      </c>
      <c r="Q15" s="1">
        <v>13</v>
      </c>
      <c r="R15" s="2" t="str">
        <f t="shared" si="3"/>
        <v>c</v>
      </c>
      <c r="S15" s="6" t="str">
        <f t="shared" si="2"/>
        <v>h</v>
      </c>
      <c r="T15" s="84" t="s">
        <v>133</v>
      </c>
      <c r="V15" s="11" t="str">
        <f xml:space="preserve"> INDEX($K$3:$K$44, MATCH(表格1_3374[[#This Row],[鍵盤位置]], $J$3:$J$44,0))</f>
        <v>ㄏ</v>
      </c>
      <c r="W15" s="15" t="s">
        <v>58</v>
      </c>
      <c r="X15" s="9" t="s">
        <v>57</v>
      </c>
    </row>
    <row r="16" spans="1:24">
      <c r="A16" s="14" t="str">
        <f xml:space="preserve"> _xlfn.CONCAT(K3:K57)</f>
        <v>ㄅㆠㄆㄇㄉㄊㄋㄌㄍㆣㄎㄫㄏㄐㆢㄑㄒㄗㆡㄘㄙㄚㆩㆦㆧㄜㆤㆥㄞㆮㄠㆯㆰㆱㆬㄢㄣㄤㆲㄥㆭㄧㆪㄨㆫ ˋ˪ㆴㆵㆻㆷˊ˫˙</v>
      </c>
      <c r="B16" s="13">
        <f xml:space="preserve"> LEN(A16)</f>
        <v>55</v>
      </c>
      <c r="E16" s="1">
        <v>14</v>
      </c>
      <c r="F16" s="17" t="s">
        <v>166</v>
      </c>
      <c r="G16" s="16" t="s">
        <v>188</v>
      </c>
      <c r="I16" s="1">
        <v>14</v>
      </c>
      <c r="J16" s="83" t="s">
        <v>188</v>
      </c>
      <c r="K16" s="7" t="s">
        <v>190</v>
      </c>
      <c r="M16" s="1">
        <v>14</v>
      </c>
      <c r="N16" s="12" t="str">
        <f t="shared" si="0"/>
        <v>T</v>
      </c>
      <c r="O16" s="12" t="str">
        <f t="shared" si="1"/>
        <v/>
      </c>
      <c r="Q16" s="1">
        <v>14</v>
      </c>
      <c r="R16" s="2" t="str">
        <f t="shared" si="3"/>
        <v>r</v>
      </c>
      <c r="S16" s="6" t="str">
        <f t="shared" si="2"/>
        <v>Z</v>
      </c>
      <c r="T16" s="84" t="s">
        <v>190</v>
      </c>
      <c r="V16" s="11" t="str">
        <f xml:space="preserve"> INDEX($K$3:$K$44, MATCH(表格1_3374[[#This Row],[鍵盤位置]], $J$3:$J$44,0))</f>
        <v>ㄐ</v>
      </c>
      <c r="W16" s="15" t="s">
        <v>56</v>
      </c>
      <c r="X16" s="9" t="s">
        <v>55</v>
      </c>
    </row>
    <row r="17" spans="1:24">
      <c r="E17" s="1">
        <v>15</v>
      </c>
      <c r="F17" s="26" t="s">
        <v>169</v>
      </c>
      <c r="G17" s="25" t="s">
        <v>171</v>
      </c>
      <c r="I17" s="1">
        <v>15</v>
      </c>
      <c r="J17" s="83" t="s">
        <v>171</v>
      </c>
      <c r="K17" s="7" t="s">
        <v>192</v>
      </c>
      <c r="M17" s="1">
        <v>15</v>
      </c>
      <c r="N17" s="12" t="str">
        <f t="shared" si="0"/>
        <v>n</v>
      </c>
      <c r="O17" s="12" t="str">
        <f t="shared" si="1"/>
        <v/>
      </c>
      <c r="Q17" s="1">
        <v>15</v>
      </c>
      <c r="R17" s="2" t="str">
        <f t="shared" si="3"/>
        <v>R</v>
      </c>
      <c r="S17" s="6" t="str">
        <f t="shared" si="2"/>
        <v>J</v>
      </c>
      <c r="T17" s="84" t="s">
        <v>192</v>
      </c>
      <c r="V17" s="11" t="str">
        <f xml:space="preserve"> INDEX($K$3:$K$44, MATCH(表格1_3374[[#This Row],[鍵盤位置]], $J$3:$J$44,0))</f>
        <v>ㄐ</v>
      </c>
      <c r="W17" s="15" t="s">
        <v>54</v>
      </c>
      <c r="X17" s="9" t="s">
        <v>53</v>
      </c>
    </row>
    <row r="18" spans="1:24">
      <c r="E18" s="1">
        <v>16</v>
      </c>
      <c r="F18" s="24" t="s">
        <v>128</v>
      </c>
      <c r="G18" s="23" t="s">
        <v>186</v>
      </c>
      <c r="I18" s="1">
        <v>16</v>
      </c>
      <c r="J18" s="83" t="s">
        <v>186</v>
      </c>
      <c r="K18" s="7" t="s">
        <v>191</v>
      </c>
      <c r="M18" s="1">
        <v>16</v>
      </c>
      <c r="N18" s="12" t="str">
        <f t="shared" si="0"/>
        <v>l</v>
      </c>
      <c r="O18" s="12" t="str">
        <f t="shared" si="1"/>
        <v/>
      </c>
      <c r="Q18" s="1">
        <v>16</v>
      </c>
      <c r="R18" s="2" t="str">
        <f t="shared" si="3"/>
        <v>f</v>
      </c>
      <c r="S18" s="6" t="str">
        <f t="shared" si="2"/>
        <v>C</v>
      </c>
      <c r="T18" s="84" t="s">
        <v>191</v>
      </c>
      <c r="V18" s="11" t="str">
        <f xml:space="preserve"> INDEX($K$3:$K$44, MATCH(表格1_3374[[#This Row],[鍵盤位置]], $J$3:$J$44,0))</f>
        <v>ㄑ</v>
      </c>
      <c r="W18" s="15" t="s">
        <v>13</v>
      </c>
      <c r="X18" s="9" t="s">
        <v>52</v>
      </c>
    </row>
    <row r="19" spans="1:24">
      <c r="E19" s="1">
        <v>17</v>
      </c>
      <c r="F19" s="17" t="s">
        <v>174</v>
      </c>
      <c r="G19" s="16" t="s">
        <v>122</v>
      </c>
      <c r="I19" s="1">
        <v>17</v>
      </c>
      <c r="J19" s="83" t="s">
        <v>122</v>
      </c>
      <c r="K19" s="7" t="s">
        <v>193</v>
      </c>
      <c r="M19" s="1">
        <v>17</v>
      </c>
      <c r="N19" s="12" t="str">
        <f t="shared" si="0"/>
        <v>k</v>
      </c>
      <c r="O19" s="12" t="str">
        <f t="shared" si="1"/>
        <v/>
      </c>
      <c r="Q19" s="1">
        <v>17</v>
      </c>
      <c r="R19" s="2" t="str">
        <f t="shared" si="3"/>
        <v>v</v>
      </c>
      <c r="S19" s="6" t="str">
        <f t="shared" si="2"/>
        <v>S</v>
      </c>
      <c r="T19" s="84" t="s">
        <v>193</v>
      </c>
      <c r="V19" s="11" t="str">
        <f xml:space="preserve"> INDEX($K$3:$K$44, MATCH(表格1_3374[[#This Row],[鍵盤位置]], $J$3:$J$44,0))</f>
        <v>ㄒ</v>
      </c>
      <c r="W19" s="15" t="s">
        <v>49</v>
      </c>
      <c r="X19" s="9" t="s">
        <v>51</v>
      </c>
    </row>
    <row r="20" spans="1:24">
      <c r="A20" s="22" t="s">
        <v>50</v>
      </c>
      <c r="E20" s="1">
        <v>18</v>
      </c>
      <c r="F20" s="21" t="s">
        <v>211</v>
      </c>
      <c r="G20" s="20" t="s">
        <v>125</v>
      </c>
      <c r="I20" s="1">
        <v>18</v>
      </c>
      <c r="J20" s="83" t="s">
        <v>125</v>
      </c>
      <c r="K20" s="7" t="s">
        <v>123</v>
      </c>
      <c r="M20" s="1">
        <v>18</v>
      </c>
      <c r="N20" s="12" t="str">
        <f t="shared" si="0"/>
        <v>g</v>
      </c>
      <c r="O20" s="12" t="str">
        <f t="shared" si="1"/>
        <v/>
      </c>
      <c r="Q20" s="1">
        <v>18</v>
      </c>
      <c r="R20" s="2" t="str">
        <f t="shared" si="3"/>
        <v>y</v>
      </c>
      <c r="S20" s="6" t="str">
        <f t="shared" si="2"/>
        <v>z</v>
      </c>
      <c r="T20" s="84" t="s">
        <v>123</v>
      </c>
      <c r="V20" s="11" t="str">
        <f xml:space="preserve"> INDEX($K$3:$K$44, MATCH(表格1_3374[[#This Row],[鍵盤位置]], $J$3:$J$44,0))</f>
        <v>ㄗ</v>
      </c>
      <c r="W20" s="15" t="s">
        <v>49</v>
      </c>
      <c r="X20" s="9" t="s">
        <v>48</v>
      </c>
    </row>
    <row r="21" spans="1:24">
      <c r="A21" s="35" t="str">
        <f xml:space="preserve"> "- 'xlit|" &amp; A25 &amp; "|" &amp; A26 &amp; "|'"</f>
        <v>- 'xlit|pbPmtTnlkgKGhZJCSzjcsaAOQoeEyYxX{}M@N[]RriIuU9&gt;&lt;4123570|ㄅㆠㄆㄇㄉㄊㄋㄌㄍㆣㄎㄫㄏㄐㆢㄑㄒㄗㆡㄘㄙㄚㆩㆦㆧㄜㆤㆤㄞㆮㄠㆯㆰㆱㆬㄢㄣㄤㆲㄥㆭㄧㄧㄨㆫㆴㆵㆻㆷ ˋ˪ˊ˫˙|'</v>
      </c>
      <c r="E21" s="1">
        <v>19</v>
      </c>
      <c r="F21" s="19" t="s">
        <v>130</v>
      </c>
      <c r="G21" s="18" t="s">
        <v>131</v>
      </c>
      <c r="I21" s="1">
        <v>19</v>
      </c>
      <c r="J21" s="83" t="s">
        <v>131</v>
      </c>
      <c r="K21" s="7" t="s">
        <v>129</v>
      </c>
      <c r="M21" s="1">
        <v>19</v>
      </c>
      <c r="N21" s="12" t="str">
        <f t="shared" si="0"/>
        <v>K</v>
      </c>
      <c r="O21" s="12" t="str">
        <f t="shared" si="1"/>
        <v/>
      </c>
      <c r="Q21" s="1">
        <v>19</v>
      </c>
      <c r="R21" s="2" t="str">
        <f t="shared" si="3"/>
        <v>Y</v>
      </c>
      <c r="S21" s="6" t="str">
        <f t="shared" si="2"/>
        <v>j</v>
      </c>
      <c r="T21" s="84" t="s">
        <v>129</v>
      </c>
      <c r="V21" s="11" t="str">
        <f xml:space="preserve"> INDEX($K$3:$K$44, MATCH(表格1_3374[[#This Row],[鍵盤位置]], $J$3:$J$44,0))</f>
        <v>ㄗ</v>
      </c>
      <c r="W21" s="15" t="s">
        <v>47</v>
      </c>
      <c r="X21" s="9" t="s">
        <v>46</v>
      </c>
    </row>
    <row r="22" spans="1:24">
      <c r="A22" s="1">
        <f xml:space="preserve"> SEARCH("|",$A$11,1)</f>
        <v>8</v>
      </c>
      <c r="E22" s="1">
        <v>20</v>
      </c>
      <c r="F22" s="17" t="s">
        <v>124</v>
      </c>
      <c r="G22" s="16" t="s">
        <v>62</v>
      </c>
      <c r="I22" s="1">
        <v>20</v>
      </c>
      <c r="J22" s="83" t="s">
        <v>62</v>
      </c>
      <c r="K22" s="7" t="s">
        <v>126</v>
      </c>
      <c r="M22" s="1">
        <v>20</v>
      </c>
      <c r="N22" s="12" t="str">
        <f t="shared" si="0"/>
        <v>G</v>
      </c>
      <c r="O22" s="12" t="str">
        <f t="shared" si="1"/>
        <v/>
      </c>
      <c r="Q22" s="1">
        <v>20</v>
      </c>
      <c r="R22" s="2" t="str">
        <f t="shared" si="3"/>
        <v>h</v>
      </c>
      <c r="S22" s="6" t="str">
        <f t="shared" si="2"/>
        <v>c</v>
      </c>
      <c r="T22" s="84" t="s">
        <v>126</v>
      </c>
      <c r="V22" s="11" t="str">
        <f xml:space="preserve"> INDEX($K$3:$K$44, MATCH(表格1_3374[[#This Row],[鍵盤位置]], $J$3:$J$44,0))</f>
        <v>ㄘ</v>
      </c>
      <c r="W22" s="15" t="s">
        <v>45</v>
      </c>
      <c r="X22" s="9" t="s">
        <v>44</v>
      </c>
    </row>
    <row r="23" spans="1:24">
      <c r="A23" s="1">
        <f xml:space="preserve"> SEARCH("|",$A$11,A22+1)</f>
        <v>64</v>
      </c>
      <c r="E23" s="1">
        <v>21</v>
      </c>
      <c r="F23" s="8" t="s">
        <v>43</v>
      </c>
      <c r="G23" s="8" t="s">
        <v>72</v>
      </c>
      <c r="I23" s="1">
        <v>21</v>
      </c>
      <c r="J23" s="83" t="s">
        <v>72</v>
      </c>
      <c r="K23" s="7" t="s">
        <v>132</v>
      </c>
      <c r="M23" s="1">
        <v>21</v>
      </c>
      <c r="N23" s="12" t="str">
        <f t="shared" si="0"/>
        <v>h</v>
      </c>
      <c r="O23" s="12" t="str">
        <f t="shared" si="1"/>
        <v/>
      </c>
      <c r="Q23" s="1">
        <v>21</v>
      </c>
      <c r="R23" s="2" t="str">
        <f t="shared" si="3"/>
        <v>n</v>
      </c>
      <c r="S23" s="6" t="str">
        <f t="shared" si="2"/>
        <v>s</v>
      </c>
      <c r="T23" s="84" t="s">
        <v>132</v>
      </c>
      <c r="V23" s="11" t="str">
        <f xml:space="preserve"> INDEX($K$3:$K$44, MATCH(表格1_3374[[#This Row],[鍵盤位置]], $J$3:$J$44,0))</f>
        <v>ㄙ</v>
      </c>
      <c r="W23" s="15" t="s">
        <v>43</v>
      </c>
      <c r="X23" s="9" t="s">
        <v>42</v>
      </c>
    </row>
    <row r="24" spans="1:24">
      <c r="A24" s="1">
        <f xml:space="preserve"> SEARCH("|",$A$11,A23+1)</f>
        <v>120</v>
      </c>
      <c r="E24" s="1">
        <v>22</v>
      </c>
      <c r="F24" s="8" t="s">
        <v>35</v>
      </c>
      <c r="G24" s="8" t="s">
        <v>212</v>
      </c>
      <c r="I24" s="1">
        <v>22</v>
      </c>
      <c r="J24" s="83" t="s">
        <v>212</v>
      </c>
      <c r="K24" s="7" t="s">
        <v>136</v>
      </c>
      <c r="M24" s="1">
        <v>22</v>
      </c>
      <c r="N24" s="12" t="str">
        <f t="shared" si="0"/>
        <v>Z</v>
      </c>
      <c r="O24" s="12" t="str">
        <f t="shared" si="1"/>
        <v/>
      </c>
      <c r="Q24" s="1">
        <v>22</v>
      </c>
      <c r="R24" s="2" t="str">
        <f t="shared" si="3"/>
        <v>8</v>
      </c>
      <c r="S24" s="6" t="str">
        <f t="shared" si="2"/>
        <v>a</v>
      </c>
      <c r="T24" s="84" t="s">
        <v>136</v>
      </c>
      <c r="V24" s="11" t="str">
        <f xml:space="preserve"> INDEX($K$3:$K$44, MATCH(表格1_3374[[#This Row],[鍵盤位置]], $J$3:$J$44,0))</f>
        <v>ㄚ</v>
      </c>
      <c r="W24" s="10" t="s">
        <v>41</v>
      </c>
      <c r="X24" s="9" t="s">
        <v>40</v>
      </c>
    </row>
    <row r="25" spans="1:24">
      <c r="A25" s="14" t="str">
        <f xml:space="preserve"> _xlfn.CONCAT(按鍵編碼)</f>
        <v>pbPmtTnlkgKGhZJCSzjcsaAOQoeEyYxX{}M@N[]RriIuU9&gt;&lt;4123570</v>
      </c>
      <c r="B25" s="13">
        <f xml:space="preserve"> LEN(A25)</f>
        <v>55</v>
      </c>
      <c r="E25" s="1">
        <v>23</v>
      </c>
      <c r="F25" s="8" t="s">
        <v>213</v>
      </c>
      <c r="G25" s="8" t="s">
        <v>172</v>
      </c>
      <c r="I25" s="1">
        <v>23</v>
      </c>
      <c r="J25" s="83" t="s">
        <v>172</v>
      </c>
      <c r="K25" s="7" t="s">
        <v>170</v>
      </c>
      <c r="M25" s="1">
        <v>23</v>
      </c>
      <c r="N25" s="12" t="str">
        <f t="shared" si="0"/>
        <v>J</v>
      </c>
      <c r="O25" s="12" t="str">
        <f t="shared" si="1"/>
        <v/>
      </c>
      <c r="Q25" s="1">
        <v>23</v>
      </c>
      <c r="R25" s="2" t="str">
        <f t="shared" si="3"/>
        <v>*</v>
      </c>
      <c r="S25" s="6" t="str">
        <f t="shared" si="2"/>
        <v>A</v>
      </c>
      <c r="T25" s="84" t="s">
        <v>170</v>
      </c>
      <c r="V25" s="11" t="str">
        <f xml:space="preserve"> INDEX($K$3:$K$44, MATCH(表格1_3374[[#This Row],[鍵盤位置]], $J$3:$J$44,0))</f>
        <v>ㄅ</v>
      </c>
      <c r="W25" s="10" t="s">
        <v>39</v>
      </c>
      <c r="X25" s="9" t="s">
        <v>38</v>
      </c>
    </row>
    <row r="26" spans="1:24">
      <c r="A26" s="14" t="str">
        <f xml:space="preserve"> _xlfn.CONCAT(方音符號)</f>
        <v>ㄅㆠㄆㄇㄉㄊㄋㄌㄍㆣㄎㄫㄏㄐㆢㄑㄒㄗㆡㄘㄙㄚㆩㆦㆧㄜㆤㆤㄞㆮㄠㆯㆰㆱㆬㄢㄣㄤㆲㄥㆭㄧㄧㄨㆫㆴㆵㆻㆷ ˋ˪ˊ˫˙</v>
      </c>
      <c r="B26" s="13">
        <f xml:space="preserve"> LEN(A26)</f>
        <v>55</v>
      </c>
      <c r="E26" s="1">
        <v>24</v>
      </c>
      <c r="F26" s="8" t="s">
        <v>138</v>
      </c>
      <c r="G26" s="8" t="s">
        <v>41</v>
      </c>
      <c r="I26" s="1">
        <v>24</v>
      </c>
      <c r="J26" s="83" t="s">
        <v>41</v>
      </c>
      <c r="K26" s="7" t="s">
        <v>137</v>
      </c>
      <c r="M26" s="1">
        <v>24</v>
      </c>
      <c r="N26" s="12" t="str">
        <f t="shared" si="0"/>
        <v>C</v>
      </c>
      <c r="O26" s="12" t="str">
        <f t="shared" si="1"/>
        <v/>
      </c>
      <c r="Q26" s="1">
        <v>24</v>
      </c>
      <c r="R26" s="2" t="str">
        <f t="shared" si="3"/>
        <v>i</v>
      </c>
      <c r="S26" s="6" t="str">
        <f t="shared" si="2"/>
        <v>O</v>
      </c>
      <c r="T26" s="84" t="s">
        <v>137</v>
      </c>
      <c r="V26" s="11" t="str">
        <f xml:space="preserve"> INDEX($K$3:$K$44, MATCH(表格1_3374[[#This Row],[鍵盤位置]], $J$3:$J$44,0))</f>
        <v>ㆦ</v>
      </c>
      <c r="W26" s="10" t="s">
        <v>37</v>
      </c>
      <c r="X26" s="9" t="s">
        <v>36</v>
      </c>
    </row>
    <row r="27" spans="1:24">
      <c r="E27" s="1">
        <v>25</v>
      </c>
      <c r="F27" s="8" t="s">
        <v>144</v>
      </c>
      <c r="G27" s="8" t="s">
        <v>150</v>
      </c>
      <c r="I27" s="1">
        <v>25</v>
      </c>
      <c r="J27" s="83" t="s">
        <v>150</v>
      </c>
      <c r="K27" s="7" t="s">
        <v>173</v>
      </c>
      <c r="M27" s="1">
        <v>25</v>
      </c>
      <c r="N27" s="12" t="str">
        <f t="shared" si="0"/>
        <v>S</v>
      </c>
      <c r="O27" s="12" t="str">
        <f t="shared" si="1"/>
        <v/>
      </c>
      <c r="Q27" s="1">
        <v>25</v>
      </c>
      <c r="R27" s="2" t="str">
        <f t="shared" si="3"/>
        <v>I</v>
      </c>
      <c r="S27" s="6" t="str">
        <f t="shared" si="2"/>
        <v>Q</v>
      </c>
      <c r="T27" s="84" t="s">
        <v>173</v>
      </c>
      <c r="V27" s="11" t="str">
        <f xml:space="preserve"> INDEX($K$3:$K$44, MATCH(表格1_3374[[#This Row],[鍵盤位置]], $J$3:$J$44,0))</f>
        <v>ㆦ</v>
      </c>
      <c r="W27" s="10" t="s">
        <v>35</v>
      </c>
      <c r="X27" s="9" t="s">
        <v>34</v>
      </c>
    </row>
    <row r="28" spans="1:24">
      <c r="E28" s="1">
        <v>26</v>
      </c>
      <c r="F28" s="8" t="s">
        <v>31</v>
      </c>
      <c r="G28" s="8" t="s">
        <v>66</v>
      </c>
      <c r="I28" s="1">
        <v>26</v>
      </c>
      <c r="J28" s="83" t="s">
        <v>66</v>
      </c>
      <c r="K28" s="7" t="s">
        <v>139</v>
      </c>
      <c r="M28" s="1">
        <v>26</v>
      </c>
      <c r="N28" s="12" t="str">
        <f t="shared" si="0"/>
        <v>z</v>
      </c>
      <c r="O28" s="12" t="str">
        <f t="shared" si="1"/>
        <v/>
      </c>
      <c r="Q28" s="1">
        <v>26</v>
      </c>
      <c r="R28" s="2" t="str">
        <f t="shared" si="3"/>
        <v>k</v>
      </c>
      <c r="S28" s="6" t="str">
        <f t="shared" si="2"/>
        <v>o</v>
      </c>
      <c r="T28" s="84" t="s">
        <v>139</v>
      </c>
      <c r="V28" s="11" t="str">
        <f xml:space="preserve"> INDEX($K$3:$K$44, MATCH(表格1_3374[[#This Row],[鍵盤位置]], $J$3:$J$44,0))</f>
        <v>ㄜ</v>
      </c>
      <c r="W28" s="10" t="s">
        <v>33</v>
      </c>
      <c r="X28" s="9" t="s">
        <v>32</v>
      </c>
    </row>
    <row r="29" spans="1:24">
      <c r="E29" s="1">
        <v>27</v>
      </c>
      <c r="F29" s="8" t="s">
        <v>27</v>
      </c>
      <c r="G29" s="8" t="s">
        <v>31</v>
      </c>
      <c r="I29" s="1">
        <v>27</v>
      </c>
      <c r="J29" s="83" t="s">
        <v>31</v>
      </c>
      <c r="K29" s="7" t="s">
        <v>214</v>
      </c>
      <c r="M29" s="1">
        <v>27</v>
      </c>
      <c r="N29" s="12" t="str">
        <f t="shared" si="0"/>
        <v>j</v>
      </c>
      <c r="O29" s="12" t="str">
        <f t="shared" si="1"/>
        <v/>
      </c>
      <c r="Q29" s="1">
        <v>27</v>
      </c>
      <c r="R29" s="2" t="str">
        <f t="shared" si="3"/>
        <v>o</v>
      </c>
      <c r="S29" s="6" t="str">
        <f t="shared" si="2"/>
        <v>e</v>
      </c>
      <c r="T29" s="84" t="s">
        <v>214</v>
      </c>
      <c r="V29" s="11" t="str">
        <f xml:space="preserve"> INDEX($K$3:$K$44, MATCH(表格1_3374[[#This Row],[鍵盤位置]], $J$3:$J$44,0))</f>
        <v>ㆤ</v>
      </c>
      <c r="W29" s="10" t="s">
        <v>31</v>
      </c>
      <c r="X29" s="9" t="s">
        <v>30</v>
      </c>
    </row>
    <row r="30" spans="1:24">
      <c r="E30" s="1">
        <v>28</v>
      </c>
      <c r="F30" s="8" t="s">
        <v>120</v>
      </c>
      <c r="G30" s="8" t="s">
        <v>138</v>
      </c>
      <c r="I30" s="1">
        <v>28</v>
      </c>
      <c r="J30" s="83" t="s">
        <v>138</v>
      </c>
      <c r="K30" s="7" t="s">
        <v>175</v>
      </c>
      <c r="M30" s="1">
        <v>28</v>
      </c>
      <c r="N30" s="12" t="str">
        <f t="shared" si="0"/>
        <v>c</v>
      </c>
      <c r="O30" s="12" t="str">
        <f t="shared" si="1"/>
        <v/>
      </c>
      <c r="Q30" s="1">
        <v>28</v>
      </c>
      <c r="R30" s="2" t="str">
        <f t="shared" si="3"/>
        <v>O</v>
      </c>
      <c r="S30" s="6" t="str">
        <f t="shared" si="2"/>
        <v>E</v>
      </c>
      <c r="T30" s="84" t="s">
        <v>214</v>
      </c>
      <c r="V30" s="11" t="str">
        <f xml:space="preserve"> INDEX($K$3:$K$44, MATCH(表格1_3374[[#This Row],[鍵盤位置]], $J$3:$J$44,0))</f>
        <v>ㆤ</v>
      </c>
      <c r="W30" s="10" t="s">
        <v>29</v>
      </c>
      <c r="X30" s="9" t="s">
        <v>28</v>
      </c>
    </row>
    <row r="31" spans="1:24">
      <c r="E31" s="1">
        <v>29</v>
      </c>
      <c r="F31" s="8" t="s">
        <v>125</v>
      </c>
      <c r="G31" s="8" t="s">
        <v>215</v>
      </c>
      <c r="I31" s="1">
        <v>29</v>
      </c>
      <c r="J31" s="83" t="s">
        <v>215</v>
      </c>
      <c r="K31" s="7" t="s">
        <v>149</v>
      </c>
      <c r="M31" s="1">
        <v>29</v>
      </c>
      <c r="N31" s="12" t="str">
        <f t="shared" si="0"/>
        <v>s</v>
      </c>
      <c r="O31" s="12" t="str">
        <f t="shared" si="1"/>
        <v/>
      </c>
      <c r="Q31" s="1">
        <v>29</v>
      </c>
      <c r="R31" s="2" t="str">
        <f t="shared" si="3"/>
        <v>9</v>
      </c>
      <c r="S31" s="6" t="str">
        <f t="shared" si="2"/>
        <v>y</v>
      </c>
      <c r="T31" s="84" t="s">
        <v>149</v>
      </c>
      <c r="V31" s="11" t="str">
        <f xml:space="preserve"> INDEX($K$3:$K$44, MATCH(表格1_3374[[#This Row],[鍵盤位置]], $J$3:$J$44,0))</f>
        <v>ㄞ</v>
      </c>
      <c r="W31" s="10" t="s">
        <v>27</v>
      </c>
      <c r="X31" s="9" t="s">
        <v>26</v>
      </c>
    </row>
    <row r="32" spans="1:24">
      <c r="E32" s="1">
        <v>30</v>
      </c>
      <c r="F32" s="8" t="s">
        <v>131</v>
      </c>
      <c r="G32" s="8" t="s">
        <v>179</v>
      </c>
      <c r="I32" s="1">
        <v>30</v>
      </c>
      <c r="J32" s="83" t="s">
        <v>179</v>
      </c>
      <c r="K32" s="7" t="s">
        <v>177</v>
      </c>
      <c r="M32" s="1">
        <v>30</v>
      </c>
      <c r="N32" s="12" t="str">
        <f t="shared" si="0"/>
        <v>a</v>
      </c>
      <c r="O32" s="12" t="str">
        <f t="shared" si="1"/>
        <v/>
      </c>
      <c r="Q32" s="1">
        <v>30</v>
      </c>
      <c r="R32" s="2" t="str">
        <f t="shared" si="3"/>
        <v>(</v>
      </c>
      <c r="S32" s="6" t="str">
        <f t="shared" si="2"/>
        <v>Y</v>
      </c>
      <c r="T32" s="84" t="s">
        <v>177</v>
      </c>
      <c r="V32" s="11" t="str">
        <f xml:space="preserve"> INDEX($K$3:$K$44, MATCH(表格1_3374[[#This Row],[鍵盤位置]], $J$3:$J$44,0))</f>
        <v>ㆮ</v>
      </c>
      <c r="W32" s="10" t="s">
        <v>25</v>
      </c>
      <c r="X32" s="9" t="s">
        <v>24</v>
      </c>
    </row>
    <row r="33" spans="5:24">
      <c r="E33" s="1">
        <v>31</v>
      </c>
      <c r="F33" s="8" t="s">
        <v>114</v>
      </c>
      <c r="G33" s="8" t="s">
        <v>69</v>
      </c>
      <c r="I33" s="1">
        <v>31</v>
      </c>
      <c r="J33" s="83" t="s">
        <v>69</v>
      </c>
      <c r="K33" s="7" t="s">
        <v>153</v>
      </c>
      <c r="M33" s="1">
        <v>31</v>
      </c>
      <c r="N33" s="12" t="str">
        <f t="shared" si="0"/>
        <v>A</v>
      </c>
      <c r="O33" s="12" t="str">
        <f t="shared" si="1"/>
        <v/>
      </c>
      <c r="Q33" s="1">
        <v>31</v>
      </c>
      <c r="R33" s="2" t="str">
        <f t="shared" si="3"/>
        <v>l</v>
      </c>
      <c r="S33" s="6" t="str">
        <f t="shared" si="2"/>
        <v>x</v>
      </c>
      <c r="T33" s="84" t="s">
        <v>153</v>
      </c>
      <c r="V33" s="11" t="str">
        <f xml:space="preserve"> INDEX($K$3:$K$44, MATCH(表格1_3374[[#This Row],[鍵盤位置]], $J$3:$J$44,0))</f>
        <v>ㄠ</v>
      </c>
      <c r="W33" s="10" t="s">
        <v>23</v>
      </c>
      <c r="X33" s="9" t="s">
        <v>22</v>
      </c>
    </row>
    <row r="34" spans="5:24">
      <c r="E34" s="1">
        <v>32</v>
      </c>
      <c r="F34" s="8" t="s">
        <v>168</v>
      </c>
      <c r="G34" s="8" t="s">
        <v>152</v>
      </c>
      <c r="I34" s="1">
        <v>32</v>
      </c>
      <c r="J34" s="83" t="s">
        <v>152</v>
      </c>
      <c r="K34" s="7" t="s">
        <v>180</v>
      </c>
      <c r="M34" s="1">
        <v>32</v>
      </c>
      <c r="N34" s="12" t="str">
        <f t="shared" si="0"/>
        <v>O</v>
      </c>
      <c r="O34" s="12" t="str">
        <f t="shared" si="1"/>
        <v/>
      </c>
      <c r="Q34" s="1">
        <v>32</v>
      </c>
      <c r="R34" s="2" t="str">
        <f t="shared" si="3"/>
        <v>L</v>
      </c>
      <c r="S34" s="6" t="str">
        <f t="shared" si="2"/>
        <v>X</v>
      </c>
      <c r="T34" s="84" t="s">
        <v>180</v>
      </c>
      <c r="V34" s="11" t="str">
        <f xml:space="preserve"> INDEX($K$3:$K$44, MATCH(表格1_3374[[#This Row],[鍵盤位置]], $J$3:$J$44,0))</f>
        <v>ㄠ</v>
      </c>
      <c r="W34" s="10" t="s">
        <v>21</v>
      </c>
      <c r="X34" s="9" t="s">
        <v>20</v>
      </c>
    </row>
    <row r="35" spans="5:24">
      <c r="E35" s="1">
        <v>33</v>
      </c>
      <c r="F35" s="8" t="s">
        <v>216</v>
      </c>
      <c r="G35" s="8" t="s">
        <v>140</v>
      </c>
      <c r="I35" s="1">
        <v>33</v>
      </c>
      <c r="J35" s="83" t="s">
        <v>140</v>
      </c>
      <c r="K35" s="7" t="s">
        <v>182</v>
      </c>
      <c r="M35" s="1">
        <v>33</v>
      </c>
      <c r="N35" s="12" t="str">
        <f t="shared" si="0"/>
        <v>Q</v>
      </c>
      <c r="O35" s="12" t="str">
        <f t="shared" si="1"/>
        <v/>
      </c>
      <c r="Q35" s="1">
        <v>33</v>
      </c>
      <c r="R35" s="2" t="str">
        <f t="shared" si="3"/>
        <v>,</v>
      </c>
      <c r="S35" s="6" t="str">
        <f t="shared" si="2"/>
        <v>{</v>
      </c>
      <c r="T35" s="84" t="s">
        <v>182</v>
      </c>
      <c r="V35" s="11" t="str">
        <f xml:space="preserve"> INDEX($K$3:$K$44, MATCH(表格1_3374[[#This Row],[鍵盤位置]], $J$3:$J$44,0))</f>
        <v>ㆰ</v>
      </c>
      <c r="W35" s="10" t="s">
        <v>19</v>
      </c>
      <c r="X35" s="9" t="s">
        <v>18</v>
      </c>
    </row>
    <row r="36" spans="5:24">
      <c r="E36" s="1">
        <v>34</v>
      </c>
      <c r="F36" s="8" t="s">
        <v>217</v>
      </c>
      <c r="G36" s="8" t="s">
        <v>176</v>
      </c>
      <c r="I36" s="1">
        <v>34</v>
      </c>
      <c r="J36" s="83" t="s">
        <v>176</v>
      </c>
      <c r="K36" s="7" t="s">
        <v>184</v>
      </c>
      <c r="M36" s="1">
        <v>34</v>
      </c>
      <c r="N36" s="12" t="str">
        <f t="shared" si="0"/>
        <v>o</v>
      </c>
      <c r="O36" s="12" t="str">
        <f t="shared" si="1"/>
        <v/>
      </c>
      <c r="Q36" s="1">
        <v>34</v>
      </c>
      <c r="R36" s="2" t="str">
        <f t="shared" si="3"/>
        <v>&lt;</v>
      </c>
      <c r="S36" s="6" t="str">
        <f t="shared" si="2"/>
        <v>}</v>
      </c>
      <c r="T36" s="84" t="s">
        <v>184</v>
      </c>
      <c r="V36" s="11" t="str">
        <f xml:space="preserve"> INDEX($K$3:$K$44, MATCH(表格1_3374[[#This Row],[鍵盤位置]], $J$3:$J$44,0))</f>
        <v>ㆱ</v>
      </c>
      <c r="W36" s="10" t="s">
        <v>17</v>
      </c>
      <c r="X36" s="9" t="s">
        <v>16</v>
      </c>
    </row>
    <row r="37" spans="5:24">
      <c r="E37" s="1">
        <v>35</v>
      </c>
      <c r="F37" s="8" t="s">
        <v>157</v>
      </c>
      <c r="G37" s="8" t="s">
        <v>37</v>
      </c>
      <c r="I37" s="1">
        <v>35</v>
      </c>
      <c r="J37" s="83" t="s">
        <v>37</v>
      </c>
      <c r="K37" s="7" t="s">
        <v>155</v>
      </c>
      <c r="M37" s="1">
        <v>35</v>
      </c>
      <c r="N37" s="12" t="str">
        <f t="shared" si="0"/>
        <v>e</v>
      </c>
      <c r="O37" s="12" t="str">
        <f t="shared" si="1"/>
        <v/>
      </c>
      <c r="Q37" s="1">
        <v>35</v>
      </c>
      <c r="R37" s="2" t="str">
        <f t="shared" si="3"/>
        <v>m</v>
      </c>
      <c r="S37" s="6" t="str">
        <f t="shared" si="2"/>
        <v>M</v>
      </c>
      <c r="T37" s="84" t="s">
        <v>155</v>
      </c>
      <c r="V37" s="11" t="str">
        <f xml:space="preserve"> INDEX($K$3:$K$44, MATCH(表格1_3374[[#This Row],[鍵盤位置]], $J$3:$J$44,0))</f>
        <v>ㆬ</v>
      </c>
      <c r="W37" s="10" t="s">
        <v>15</v>
      </c>
      <c r="X37" s="9" t="s">
        <v>14</v>
      </c>
    </row>
    <row r="38" spans="5:24">
      <c r="E38" s="1">
        <v>36</v>
      </c>
      <c r="F38" s="86" t="s">
        <v>261</v>
      </c>
      <c r="G38" s="8" t="s">
        <v>218</v>
      </c>
      <c r="I38" s="1">
        <v>36</v>
      </c>
      <c r="J38" s="83" t="s">
        <v>218</v>
      </c>
      <c r="K38" s="7" t="s">
        <v>151</v>
      </c>
      <c r="M38" s="1">
        <v>36</v>
      </c>
      <c r="N38" s="12" t="str">
        <f t="shared" si="0"/>
        <v>E</v>
      </c>
      <c r="O38" s="12" t="str">
        <f t="shared" si="1"/>
        <v/>
      </c>
      <c r="Q38" s="1">
        <v>36</v>
      </c>
      <c r="R38" s="2" t="str">
        <f t="shared" si="3"/>
        <v>0</v>
      </c>
      <c r="S38" s="6" t="str">
        <f t="shared" si="2"/>
        <v>@</v>
      </c>
      <c r="T38" s="84" t="s">
        <v>151</v>
      </c>
      <c r="V38" s="11" t="str">
        <f xml:space="preserve"> INDEX($K$3:$K$44, MATCH(表格1_3374[[#This Row],[鍵盤位置]], $J$3:$J$44,0))</f>
        <v>ㄢ</v>
      </c>
      <c r="W38" s="10" t="s">
        <v>13</v>
      </c>
      <c r="X38" s="9" t="s">
        <v>12</v>
      </c>
    </row>
    <row r="39" spans="5:24">
      <c r="E39" s="1">
        <v>37</v>
      </c>
      <c r="F39" s="8" t="s">
        <v>219</v>
      </c>
      <c r="G39" s="8" t="s">
        <v>83</v>
      </c>
      <c r="I39" s="1">
        <v>37</v>
      </c>
      <c r="J39" s="83" t="s">
        <v>83</v>
      </c>
      <c r="K39" s="7" t="s">
        <v>141</v>
      </c>
      <c r="M39" s="1">
        <v>37</v>
      </c>
      <c r="N39" s="12" t="str">
        <f t="shared" si="0"/>
        <v>y</v>
      </c>
      <c r="O39" s="12" t="str">
        <f t="shared" si="1"/>
        <v/>
      </c>
      <c r="Q39" s="1">
        <v>37</v>
      </c>
      <c r="R39" s="2" t="str">
        <f t="shared" si="3"/>
        <v>p</v>
      </c>
      <c r="S39" s="6" t="str">
        <f t="shared" si="2"/>
        <v>N</v>
      </c>
      <c r="T39" s="84" t="s">
        <v>141</v>
      </c>
      <c r="V39" s="11" t="str">
        <f xml:space="preserve"> INDEX($K$3:$K$44, MATCH(表格1_3374[[#This Row],[鍵盤位置]], $J$3:$J$44,0))</f>
        <v>ㄣ</v>
      </c>
      <c r="W39" s="10" t="s">
        <v>11</v>
      </c>
      <c r="X39" s="9" t="s">
        <v>10</v>
      </c>
    </row>
    <row r="40" spans="5:24">
      <c r="E40" s="1">
        <v>38</v>
      </c>
      <c r="F40" s="8" t="s">
        <v>220</v>
      </c>
      <c r="G40" s="8" t="s">
        <v>145</v>
      </c>
      <c r="I40" s="1">
        <v>38</v>
      </c>
      <c r="J40" s="83" t="s">
        <v>145</v>
      </c>
      <c r="K40" s="7" t="s">
        <v>143</v>
      </c>
      <c r="M40" s="1">
        <v>38</v>
      </c>
      <c r="N40" s="12" t="str">
        <f t="shared" si="0"/>
        <v>Y</v>
      </c>
      <c r="O40" s="12" t="str">
        <f t="shared" si="1"/>
        <v/>
      </c>
      <c r="Q40" s="1">
        <v>38</v>
      </c>
      <c r="R40" s="2" t="str">
        <f t="shared" si="3"/>
        <v>;</v>
      </c>
      <c r="S40" s="6" t="str">
        <f t="shared" si="2"/>
        <v>[</v>
      </c>
      <c r="T40" s="84" t="s">
        <v>143</v>
      </c>
      <c r="V40" s="11" t="str">
        <f xml:space="preserve"> INDEX($K$3:$K$44, MATCH(表格1_3374[[#This Row],[鍵盤位置]], $J$3:$J$44,0))</f>
        <v>ㄤ</v>
      </c>
      <c r="W40" s="10" t="s">
        <v>9</v>
      </c>
      <c r="X40" s="9" t="s">
        <v>8</v>
      </c>
    </row>
    <row r="41" spans="5:24">
      <c r="E41" s="1">
        <v>39</v>
      </c>
      <c r="F41" s="8" t="s">
        <v>222</v>
      </c>
      <c r="G41" s="8" t="s">
        <v>221</v>
      </c>
      <c r="I41" s="1">
        <v>39</v>
      </c>
      <c r="J41" s="83" t="s">
        <v>221</v>
      </c>
      <c r="K41" s="7" t="s">
        <v>187</v>
      </c>
      <c r="M41" s="1">
        <v>39</v>
      </c>
      <c r="N41" s="12" t="str">
        <f t="shared" si="0"/>
        <v>x</v>
      </c>
      <c r="O41" s="12" t="str">
        <f t="shared" si="1"/>
        <v/>
      </c>
      <c r="Q41" s="1">
        <v>39</v>
      </c>
      <c r="R41" s="2" t="str">
        <f t="shared" si="3"/>
        <v>:</v>
      </c>
      <c r="S41" s="6" t="str">
        <f t="shared" si="2"/>
        <v>]</v>
      </c>
      <c r="T41" s="84" t="s">
        <v>187</v>
      </c>
      <c r="V41" s="11" t="str">
        <f xml:space="preserve"> INDEX($K$3:$K$44, MATCH(表格1_3374[[#This Row],[鍵盤位置]], $J$3:$J$44,0))</f>
        <v>ㆲ</v>
      </c>
      <c r="W41" s="10" t="s">
        <v>7</v>
      </c>
      <c r="X41" s="9" t="s">
        <v>6</v>
      </c>
    </row>
    <row r="42" spans="5:24">
      <c r="E42" s="1">
        <v>40</v>
      </c>
      <c r="F42" s="8" t="s">
        <v>171</v>
      </c>
      <c r="G42" s="8" t="s">
        <v>148</v>
      </c>
      <c r="I42" s="1">
        <v>40</v>
      </c>
      <c r="J42" s="83" t="s">
        <v>148</v>
      </c>
      <c r="K42" s="7" t="s">
        <v>146</v>
      </c>
      <c r="M42" s="1">
        <v>40</v>
      </c>
      <c r="N42" s="12" t="str">
        <f t="shared" si="0"/>
        <v>X</v>
      </c>
      <c r="O42" s="12" t="str">
        <f t="shared" si="1"/>
        <v/>
      </c>
      <c r="Q42" s="1">
        <v>40</v>
      </c>
      <c r="R42" s="2" t="str">
        <f t="shared" si="3"/>
        <v>/</v>
      </c>
      <c r="S42" s="6" t="str">
        <f t="shared" si="2"/>
        <v>R</v>
      </c>
      <c r="T42" s="84" t="s">
        <v>146</v>
      </c>
      <c r="V42" s="11" t="str">
        <f xml:space="preserve"> INDEX($K$3:$K$44, MATCH(表格1_3374[[#This Row],[鍵盤位置]], $J$3:$J$44,0))</f>
        <v>ㄥ</v>
      </c>
      <c r="W42" s="10" t="s">
        <v>5</v>
      </c>
      <c r="X42" s="9" t="s">
        <v>4</v>
      </c>
    </row>
    <row r="43" spans="5:24">
      <c r="E43" s="1">
        <v>41</v>
      </c>
      <c r="F43" s="8" t="s">
        <v>188</v>
      </c>
      <c r="G43" s="8" t="s">
        <v>223</v>
      </c>
      <c r="I43" s="1">
        <v>41</v>
      </c>
      <c r="J43" s="83" t="s">
        <v>223</v>
      </c>
      <c r="K43" s="7" t="s">
        <v>189</v>
      </c>
      <c r="M43" s="1">
        <v>41</v>
      </c>
      <c r="N43" s="12" t="str">
        <f t="shared" si="0"/>
        <v>{</v>
      </c>
      <c r="O43" s="12" t="str">
        <f t="shared" si="1"/>
        <v/>
      </c>
      <c r="Q43" s="1">
        <v>41</v>
      </c>
      <c r="R43" s="2" t="str">
        <f t="shared" si="3"/>
        <v>-</v>
      </c>
      <c r="S43" s="6" t="str">
        <f t="shared" si="2"/>
        <v>r</v>
      </c>
      <c r="T43" s="84" t="s">
        <v>189</v>
      </c>
      <c r="V43" s="11" t="str">
        <f xml:space="preserve"> INDEX($K$3:$K$44, MATCH(表格1_3374[[#This Row],[鍵盤位置]], $J$3:$J$44,0))</f>
        <v>ㆭ</v>
      </c>
      <c r="W43" s="10" t="s">
        <v>3</v>
      </c>
      <c r="X43" s="9" t="s">
        <v>2</v>
      </c>
    </row>
    <row r="44" spans="5:24">
      <c r="E44" s="1">
        <v>42</v>
      </c>
      <c r="F44" s="8" t="s">
        <v>41</v>
      </c>
      <c r="G44" s="8" t="s">
        <v>39</v>
      </c>
      <c r="I44" s="1">
        <v>42</v>
      </c>
      <c r="J44" s="83" t="s">
        <v>39</v>
      </c>
      <c r="K44" s="7" t="s">
        <v>134</v>
      </c>
      <c r="M44" s="1">
        <v>42</v>
      </c>
      <c r="N44" s="12" t="str">
        <f t="shared" si="0"/>
        <v>}</v>
      </c>
      <c r="O44" s="12" t="str">
        <f t="shared" si="1"/>
        <v/>
      </c>
      <c r="Q44" s="1">
        <v>42</v>
      </c>
      <c r="R44" s="2" t="str">
        <f t="shared" si="3"/>
        <v>u</v>
      </c>
      <c r="S44" s="6" t="str">
        <f t="shared" si="2"/>
        <v>i</v>
      </c>
      <c r="T44" s="84" t="s">
        <v>134</v>
      </c>
      <c r="V44" s="11" t="str">
        <f xml:space="preserve"> INDEX($K$3:$K$44, MATCH(表格1_3374[[#This Row],[鍵盤位置]], $J$3:$J$44,0))</f>
        <v>ㄧ</v>
      </c>
      <c r="W44" s="10" t="s">
        <v>1</v>
      </c>
      <c r="X44" s="9" t="s">
        <v>0</v>
      </c>
    </row>
    <row r="45" spans="5:24">
      <c r="E45" s="1">
        <v>43</v>
      </c>
      <c r="F45" s="8" t="s">
        <v>150</v>
      </c>
      <c r="G45" s="8" t="s">
        <v>154</v>
      </c>
      <c r="I45" s="1">
        <v>43</v>
      </c>
      <c r="J45" s="83" t="s">
        <v>154</v>
      </c>
      <c r="K45" s="7" t="s">
        <v>165</v>
      </c>
      <c r="O45" s="1"/>
      <c r="Q45" s="1">
        <v>43</v>
      </c>
      <c r="R45" s="2" t="str">
        <f t="shared" si="3"/>
        <v>U</v>
      </c>
      <c r="S45" s="6" t="str">
        <f t="shared" si="2"/>
        <v>I</v>
      </c>
      <c r="T45" s="84" t="s">
        <v>134</v>
      </c>
    </row>
    <row r="46" spans="5:24">
      <c r="E46" s="1">
        <v>44</v>
      </c>
      <c r="F46" s="8" t="s">
        <v>39</v>
      </c>
      <c r="G46" s="8" t="s">
        <v>130</v>
      </c>
      <c r="I46" s="1">
        <v>44</v>
      </c>
      <c r="J46" s="83" t="s">
        <v>130</v>
      </c>
      <c r="K46" s="7" t="s">
        <v>135</v>
      </c>
      <c r="Q46" s="1">
        <v>44</v>
      </c>
      <c r="R46" s="2" t="str">
        <f t="shared" si="3"/>
        <v>j</v>
      </c>
      <c r="S46" s="6" t="str">
        <f t="shared" si="2"/>
        <v>u</v>
      </c>
      <c r="T46" s="84" t="s">
        <v>135</v>
      </c>
      <c r="V46" s="85" t="str">
        <f xml:space="preserve"> _xlfn.CONCAT(S3:S23)</f>
        <v>pbPmtTnlkgKGhZJCSzjcs</v>
      </c>
    </row>
    <row r="47" spans="5:24">
      <c r="E47" s="1">
        <v>45</v>
      </c>
      <c r="F47" s="8" t="s">
        <v>154</v>
      </c>
      <c r="G47" s="8" t="s">
        <v>169</v>
      </c>
      <c r="I47" s="1">
        <v>45</v>
      </c>
      <c r="J47" s="83" t="s">
        <v>169</v>
      </c>
      <c r="K47" s="7" t="s">
        <v>167</v>
      </c>
      <c r="Q47" s="1">
        <v>45</v>
      </c>
      <c r="R47" s="2" t="str">
        <f t="shared" si="3"/>
        <v>J</v>
      </c>
      <c r="S47" s="6" t="str">
        <f t="shared" si="2"/>
        <v>U</v>
      </c>
      <c r="T47" s="84" t="s">
        <v>167</v>
      </c>
    </row>
    <row r="48" spans="5:24">
      <c r="E48" s="1">
        <v>46</v>
      </c>
      <c r="F48" s="8" t="s">
        <v>208</v>
      </c>
      <c r="G48" s="8" t="s">
        <v>158</v>
      </c>
      <c r="I48" s="1">
        <v>46</v>
      </c>
      <c r="J48" s="83" t="s">
        <v>158</v>
      </c>
      <c r="K48" s="7" t="s">
        <v>158</v>
      </c>
      <c r="Q48" s="1">
        <v>46</v>
      </c>
      <c r="R48" s="2" t="str">
        <f>G51</f>
        <v>b</v>
      </c>
      <c r="S48" s="6" t="str">
        <f>F51</f>
        <v>9</v>
      </c>
      <c r="T48" s="84" t="s">
        <v>194</v>
      </c>
    </row>
    <row r="49" spans="5:22">
      <c r="E49" s="1">
        <v>47</v>
      </c>
      <c r="F49" s="8" t="s">
        <v>209</v>
      </c>
      <c r="G49" s="8" t="s">
        <v>224</v>
      </c>
      <c r="I49" s="1">
        <v>47</v>
      </c>
      <c r="J49" s="83" t="s">
        <v>224</v>
      </c>
      <c r="K49" s="7" t="s">
        <v>161</v>
      </c>
      <c r="Q49" s="1">
        <v>47</v>
      </c>
      <c r="R49" s="2" t="str">
        <f>G52</f>
        <v>t</v>
      </c>
      <c r="S49" s="6" t="str">
        <f>F52</f>
        <v>&gt;</v>
      </c>
      <c r="T49" s="84" t="s">
        <v>195</v>
      </c>
      <c r="V49" t="s">
        <v>260</v>
      </c>
    </row>
    <row r="50" spans="5:22">
      <c r="E50" s="1">
        <v>48</v>
      </c>
      <c r="F50" s="8" t="s">
        <v>225</v>
      </c>
      <c r="G50" s="8" t="s">
        <v>225</v>
      </c>
      <c r="I50" s="1">
        <v>48</v>
      </c>
      <c r="J50" s="83" t="s">
        <v>225</v>
      </c>
      <c r="K50" s="7" t="s">
        <v>163</v>
      </c>
      <c r="Q50" s="1">
        <v>48</v>
      </c>
      <c r="R50" s="2" t="str">
        <f>G53</f>
        <v>g</v>
      </c>
      <c r="S50" s="6" t="str">
        <f>F53</f>
        <v>&lt;</v>
      </c>
      <c r="T50" s="84" t="s">
        <v>196</v>
      </c>
      <c r="V50">
        <f xml:space="preserve"> LEN(V49) - 2</f>
        <v>55</v>
      </c>
    </row>
    <row r="51" spans="5:22">
      <c r="E51" s="1">
        <v>49</v>
      </c>
      <c r="F51" s="8" t="s">
        <v>215</v>
      </c>
      <c r="G51" s="8" t="s">
        <v>78</v>
      </c>
      <c r="I51" s="1">
        <v>49</v>
      </c>
      <c r="J51" s="83" t="s">
        <v>78</v>
      </c>
      <c r="K51" s="7" t="s">
        <v>194</v>
      </c>
      <c r="Q51" s="1">
        <v>49</v>
      </c>
      <c r="R51" s="2" t="str">
        <f>G54</f>
        <v>z</v>
      </c>
      <c r="S51" s="6" t="str">
        <f>F54</f>
        <v>4</v>
      </c>
      <c r="T51" s="84" t="s">
        <v>197</v>
      </c>
    </row>
    <row r="52" spans="5:22">
      <c r="E52" s="1">
        <v>50</v>
      </c>
      <c r="F52" s="8" t="s">
        <v>226</v>
      </c>
      <c r="G52" s="8" t="s">
        <v>76</v>
      </c>
      <c r="I52" s="1">
        <v>50</v>
      </c>
      <c r="J52" s="83" t="s">
        <v>76</v>
      </c>
      <c r="K52" s="7" t="s">
        <v>195</v>
      </c>
      <c r="Q52" s="1">
        <v>50</v>
      </c>
      <c r="R52" s="2" t="str">
        <f>G48</f>
        <v xml:space="preserve"> </v>
      </c>
      <c r="S52" s="6" t="str">
        <f>F48</f>
        <v>1</v>
      </c>
      <c r="T52" s="84" t="s">
        <v>158</v>
      </c>
    </row>
    <row r="53" spans="5:22">
      <c r="E53" s="1">
        <v>51</v>
      </c>
      <c r="F53" s="8" t="s">
        <v>176</v>
      </c>
      <c r="G53" s="8" t="s">
        <v>54</v>
      </c>
      <c r="I53" s="1">
        <v>51</v>
      </c>
      <c r="J53" s="83" t="s">
        <v>54</v>
      </c>
      <c r="K53" s="7" t="s">
        <v>196</v>
      </c>
      <c r="Q53" s="1">
        <v>51</v>
      </c>
      <c r="R53" s="2" t="str">
        <f>G49</f>
        <v>4</v>
      </c>
      <c r="S53" s="6" t="str">
        <f>F49</f>
        <v>2</v>
      </c>
      <c r="T53" s="84" t="s">
        <v>161</v>
      </c>
    </row>
    <row r="54" spans="5:22">
      <c r="E54" s="1">
        <v>52</v>
      </c>
      <c r="F54" s="8" t="s">
        <v>224</v>
      </c>
      <c r="G54" s="8" t="s">
        <v>211</v>
      </c>
      <c r="I54" s="1">
        <v>52</v>
      </c>
      <c r="J54" s="83" t="s">
        <v>211</v>
      </c>
      <c r="K54" s="7" t="s">
        <v>197</v>
      </c>
      <c r="Q54" s="1">
        <v>52</v>
      </c>
      <c r="R54" s="2" t="str">
        <f>G50</f>
        <v>3</v>
      </c>
      <c r="S54" s="6" t="str">
        <f>F50</f>
        <v>3</v>
      </c>
      <c r="T54" s="84" t="s">
        <v>163</v>
      </c>
    </row>
    <row r="55" spans="5:22">
      <c r="E55" s="1">
        <v>53</v>
      </c>
      <c r="F55" s="8" t="s">
        <v>228</v>
      </c>
      <c r="G55" s="8" t="s">
        <v>227</v>
      </c>
      <c r="I55" s="1">
        <v>53</v>
      </c>
      <c r="J55" s="83" t="s">
        <v>227</v>
      </c>
      <c r="K55" s="7" t="s">
        <v>160</v>
      </c>
      <c r="Q55" s="1">
        <v>53</v>
      </c>
      <c r="R55" s="2" t="str">
        <f>G55</f>
        <v>6</v>
      </c>
      <c r="S55" s="6" t="str">
        <f>F55</f>
        <v>5</v>
      </c>
      <c r="T55" s="84" t="s">
        <v>160</v>
      </c>
    </row>
    <row r="56" spans="5:22">
      <c r="E56" s="1">
        <v>54</v>
      </c>
      <c r="F56" s="8" t="s">
        <v>229</v>
      </c>
      <c r="G56" s="8" t="s">
        <v>228</v>
      </c>
      <c r="I56" s="1">
        <v>54</v>
      </c>
      <c r="J56" s="83" t="s">
        <v>228</v>
      </c>
      <c r="K56" s="7" t="s">
        <v>164</v>
      </c>
      <c r="Q56" s="1">
        <v>54</v>
      </c>
      <c r="R56" s="2" t="str">
        <f>G56</f>
        <v>5</v>
      </c>
      <c r="S56" s="6" t="str">
        <f>F56</f>
        <v>7</v>
      </c>
      <c r="T56" s="84" t="s">
        <v>164</v>
      </c>
    </row>
    <row r="57" spans="5:22">
      <c r="E57" s="1">
        <v>55</v>
      </c>
      <c r="F57" s="8">
        <v>0</v>
      </c>
      <c r="G57" s="8" t="s">
        <v>229</v>
      </c>
      <c r="I57" s="1">
        <v>55</v>
      </c>
      <c r="J57" s="83" t="s">
        <v>229</v>
      </c>
      <c r="K57" s="7" t="s">
        <v>162</v>
      </c>
      <c r="Q57" s="1">
        <v>55</v>
      </c>
      <c r="R57" s="2" t="str">
        <f>G57</f>
        <v>7</v>
      </c>
      <c r="S57" s="6">
        <f>F57</f>
        <v>0</v>
      </c>
      <c r="T57" s="84" t="s">
        <v>162</v>
      </c>
    </row>
    <row r="58" spans="5:22">
      <c r="R58" s="2"/>
      <c r="S58" s="6"/>
      <c r="T58" s="2"/>
    </row>
    <row r="59" spans="5:22">
      <c r="F59" t="str">
        <f xml:space="preserve"> _xlfn.CONCAT(鍵盤位置)</f>
        <v>1!qa2wsxeEdDcrRfvyYhn8*iIkoO9(lL,&lt;m0p;:/-uUjJbtgz 43657</v>
      </c>
      <c r="R59" s="2"/>
      <c r="S59" s="6"/>
      <c r="T59" s="2"/>
    </row>
    <row r="60" spans="5:22">
      <c r="R60" s="2"/>
      <c r="S60" s="6"/>
      <c r="T60" s="2"/>
    </row>
    <row r="61" spans="5:22">
      <c r="R61" s="2"/>
      <c r="S61" s="6"/>
      <c r="T61" s="2"/>
    </row>
    <row r="62" spans="5:22">
      <c r="R62" s="2"/>
      <c r="S62" s="6"/>
      <c r="T62" s="2"/>
    </row>
    <row r="63" spans="5:22">
      <c r="R63" s="2"/>
      <c r="S63" s="6"/>
      <c r="T63" s="2"/>
    </row>
    <row r="64" spans="5:22">
      <c r="R64" s="2"/>
      <c r="S64" s="6"/>
      <c r="T64" s="2"/>
    </row>
    <row r="65" spans="18:20">
      <c r="R65" s="2"/>
      <c r="S65" s="6"/>
      <c r="T65" s="2"/>
    </row>
    <row r="66" spans="18:20">
      <c r="R66" s="2"/>
      <c r="S66" s="6"/>
      <c r="T66" s="2"/>
    </row>
    <row r="67" spans="18:20">
      <c r="R67" s="2"/>
      <c r="S67" s="6"/>
      <c r="T67" s="2"/>
    </row>
    <row r="68" spans="18:20">
      <c r="R68" s="2"/>
      <c r="S68" s="6"/>
      <c r="T68" s="2"/>
    </row>
    <row r="69" spans="18:20">
      <c r="R69" s="2"/>
      <c r="S69" s="6"/>
      <c r="T69" s="2"/>
    </row>
    <row r="70" spans="18:20">
      <c r="R70" s="2"/>
      <c r="S70" s="6"/>
      <c r="T70" s="2"/>
    </row>
    <row r="72" spans="18:20">
      <c r="S72" s="1" t="str">
        <f xml:space="preserve"> _xlfn.CONCAT(按鍵編碼)</f>
        <v>pbPmtTnlkgKGhZJCSzjcsaAOQoeEyYxX{}M@N[]RriIuU9&gt;&lt;4123570</v>
      </c>
    </row>
    <row r="73" spans="18:20">
      <c r="S73" s="1" t="str">
        <f xml:space="preserve"> _xlfn.CONCAT(方音符號)</f>
        <v>ㄅㆠㄆㄇㄉㄊㄋㄌㄍㆣㄎㄫㄏㄐㆢㄑㄒㄗㆡㄘㄙㄚㆩㆦㆧㄜㆤㆤㄞㆮㄠㆯㆰㆱㆬㄢㄣㄤㆲㄥㆭㄧㄧㄨㆫㆴㆵㆻㆷ ˋ˪ˊ˫˙</v>
      </c>
    </row>
    <row r="74" spans="18:20">
      <c r="S74" s="5" t="str">
        <f xml:space="preserve"> "xlit|" &amp; S72 &amp; "|" &amp; S73 &amp; "|"</f>
        <v>xlit|pbPmtTnlkgKGhZJCSzjcsaAOQoeEyYxX{}M@N[]RriIuU9&gt;&lt;4123570|ㄅㆠㄆㄇㄉㄊㄋㄌㄍㆣㄎㄫㄏㄐㆢㄑㄒㄗㆡㄘㄙㄚㆩㆦㆧㄜㆤㆤㄞㆮㄠㆯㆰㆱㆬㄢㄣㄤㆲㄥㆭㄧㄧㄨㆫㆴㆵㆻㆷ ˋ˪ˊ˫˙|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C291-E152-4D90-8170-7613C49465C7}">
  <dimension ref="B2:O76"/>
  <sheetViews>
    <sheetView topLeftCell="A3" workbookViewId="0">
      <pane ySplit="2" topLeftCell="A45" activePane="bottomLeft" state="frozen"/>
      <selection activeCell="A3" sqref="A3"/>
      <selection pane="bottomLeft" activeCell="N5" sqref="N5"/>
    </sheetView>
  </sheetViews>
  <sheetFormatPr defaultRowHeight="23.25"/>
  <cols>
    <col min="3" max="4" width="10.796875" customWidth="1"/>
    <col min="5" max="5" width="10.796875" style="71" customWidth="1"/>
    <col min="6" max="7" width="10.796875" customWidth="1"/>
    <col min="9" max="9" width="8.796875" style="1"/>
    <col min="10" max="10" width="4.69921875" style="1" customWidth="1"/>
    <col min="11" max="14" width="11.09765625" style="79" customWidth="1"/>
  </cols>
  <sheetData>
    <row r="2" spans="2:15" ht="32.25">
      <c r="B2" s="37" t="s">
        <v>198</v>
      </c>
      <c r="C2" s="38"/>
      <c r="D2" s="39"/>
      <c r="E2" s="69"/>
      <c r="F2" s="40"/>
      <c r="G2" s="40"/>
    </row>
    <row r="3" spans="2:15" ht="32.25">
      <c r="B3" s="41"/>
      <c r="C3" s="38"/>
      <c r="D3" s="39"/>
      <c r="E3" s="69"/>
      <c r="F3" s="40"/>
      <c r="G3" s="40"/>
    </row>
    <row r="4" spans="2:15" s="68" customFormat="1">
      <c r="B4" s="42" t="s">
        <v>98</v>
      </c>
      <c r="C4" s="43" t="s">
        <v>99</v>
      </c>
      <c r="D4" s="44" t="s">
        <v>199</v>
      </c>
      <c r="E4" s="70" t="s">
        <v>202</v>
      </c>
      <c r="F4" s="45" t="s">
        <v>200</v>
      </c>
      <c r="G4" s="46" t="s">
        <v>100</v>
      </c>
      <c r="I4" s="1"/>
      <c r="J4" s="1"/>
      <c r="K4" s="78" t="s">
        <v>88</v>
      </c>
      <c r="L4" s="78" t="s">
        <v>87</v>
      </c>
      <c r="M4" s="78" t="s">
        <v>86</v>
      </c>
      <c r="N4" s="78" t="s">
        <v>202</v>
      </c>
      <c r="O4"/>
    </row>
    <row r="5" spans="2:15" ht="38.25">
      <c r="B5" s="58">
        <f xml:space="preserve"> ROW() -4</f>
        <v>1</v>
      </c>
      <c r="C5" s="47" t="s">
        <v>101</v>
      </c>
      <c r="D5" s="64" t="s">
        <v>83</v>
      </c>
      <c r="E5" s="72" t="s">
        <v>203</v>
      </c>
      <c r="F5" s="48" t="s">
        <v>83</v>
      </c>
      <c r="G5" s="49">
        <v>1</v>
      </c>
      <c r="J5" s="1">
        <v>1</v>
      </c>
      <c r="K5" s="79" t="s">
        <v>208</v>
      </c>
      <c r="L5" s="80" t="s">
        <v>83</v>
      </c>
      <c r="M5" s="81" t="s">
        <v>101</v>
      </c>
      <c r="N5" s="80" t="str">
        <f xml:space="preserve"> IFERROR( INDEX($E$5:$E$54, MATCH(表格1_3373[[#This Row],[方音符號]], $C$5:$C$54,0)), "")</f>
        <v>[p]</v>
      </c>
    </row>
    <row r="6" spans="2:15" ht="38.25">
      <c r="B6" s="60">
        <f t="shared" ref="B6:B60" si="0" xml:space="preserve"> ROW() -4</f>
        <v>2</v>
      </c>
      <c r="C6" s="47" t="s">
        <v>102</v>
      </c>
      <c r="D6" s="64" t="s">
        <v>81</v>
      </c>
      <c r="E6" s="72" t="s">
        <v>80</v>
      </c>
      <c r="F6" s="48" t="s">
        <v>103</v>
      </c>
      <c r="G6" s="49" t="s">
        <v>104</v>
      </c>
      <c r="J6" s="1">
        <v>2</v>
      </c>
      <c r="K6" s="79" t="s">
        <v>106</v>
      </c>
      <c r="L6" s="80" t="s">
        <v>78</v>
      </c>
      <c r="M6" s="81" t="s">
        <v>105</v>
      </c>
      <c r="N6" s="80" t="str">
        <f xml:space="preserve"> IFERROR( INDEX($E$5:$E$54, MATCH(表格1_3373[[#This Row],[方音符號]], $C$5:$C$54,0)), "")</f>
        <v>[b]</v>
      </c>
    </row>
    <row r="7" spans="2:15" ht="38.25">
      <c r="B7" s="60">
        <f t="shared" si="0"/>
        <v>3</v>
      </c>
      <c r="C7" s="47" t="s">
        <v>105</v>
      </c>
      <c r="D7" s="64" t="s">
        <v>78</v>
      </c>
      <c r="E7" s="72" t="s">
        <v>77</v>
      </c>
      <c r="F7" s="50" t="s">
        <v>78</v>
      </c>
      <c r="G7" s="49" t="s">
        <v>106</v>
      </c>
      <c r="J7" s="1">
        <v>3</v>
      </c>
      <c r="K7" s="79" t="s">
        <v>104</v>
      </c>
      <c r="L7" s="80" t="s">
        <v>103</v>
      </c>
      <c r="M7" s="81" t="s">
        <v>102</v>
      </c>
      <c r="N7" s="80" t="str">
        <f xml:space="preserve"> IFERROR( INDEX($E$5:$E$54, MATCH(表格1_3373[[#This Row],[方音符號]], $C$5:$C$54,0)), "")</f>
        <v>[pʰ]</v>
      </c>
      <c r="O7" s="68"/>
    </row>
    <row r="8" spans="2:15" ht="38.25">
      <c r="B8" s="60">
        <f t="shared" si="0"/>
        <v>4</v>
      </c>
      <c r="C8" s="47" t="s">
        <v>107</v>
      </c>
      <c r="D8" s="64" t="s">
        <v>37</v>
      </c>
      <c r="E8" s="72" t="s">
        <v>79</v>
      </c>
      <c r="F8" s="48" t="s">
        <v>37</v>
      </c>
      <c r="G8" s="49" t="s">
        <v>35</v>
      </c>
      <c r="J8" s="1">
        <v>4</v>
      </c>
      <c r="K8" s="79" t="s">
        <v>35</v>
      </c>
      <c r="L8" s="80" t="s">
        <v>37</v>
      </c>
      <c r="M8" s="81" t="s">
        <v>107</v>
      </c>
      <c r="N8" s="80" t="str">
        <f xml:space="preserve"> IFERROR( INDEX($E$5:$E$54, MATCH(表格1_3373[[#This Row],[方音符號]], $C$5:$C$54,0)), "")</f>
        <v>[m]</v>
      </c>
    </row>
    <row r="9" spans="2:15" ht="38.25">
      <c r="B9" s="58">
        <f t="shared" si="0"/>
        <v>5</v>
      </c>
      <c r="C9" s="51" t="s">
        <v>108</v>
      </c>
      <c r="D9" s="65" t="s">
        <v>76</v>
      </c>
      <c r="E9" s="73" t="s">
        <v>75</v>
      </c>
      <c r="F9" s="52" t="s">
        <v>76</v>
      </c>
      <c r="G9" s="53">
        <v>2</v>
      </c>
      <c r="J9" s="1">
        <v>5</v>
      </c>
      <c r="K9" s="79" t="s">
        <v>209</v>
      </c>
      <c r="L9" s="80" t="s">
        <v>76</v>
      </c>
      <c r="M9" s="81" t="s">
        <v>108</v>
      </c>
      <c r="N9" s="80" t="str">
        <f xml:space="preserve"> IFERROR( INDEX($E$5:$E$54, MATCH(表格1_3373[[#This Row],[方音符號]], $C$5:$C$54,0)), "")</f>
        <v>[t]</v>
      </c>
    </row>
    <row r="10" spans="2:15" ht="38.25">
      <c r="B10" s="60">
        <f t="shared" si="0"/>
        <v>6</v>
      </c>
      <c r="C10" s="47" t="s">
        <v>109</v>
      </c>
      <c r="D10" s="64" t="s">
        <v>74</v>
      </c>
      <c r="E10" s="72" t="s">
        <v>73</v>
      </c>
      <c r="F10" s="48" t="s">
        <v>110</v>
      </c>
      <c r="G10" s="49" t="s">
        <v>111</v>
      </c>
      <c r="J10" s="1">
        <v>6</v>
      </c>
      <c r="K10" s="79" t="s">
        <v>111</v>
      </c>
      <c r="L10" s="80" t="s">
        <v>110</v>
      </c>
      <c r="M10" s="81" t="s">
        <v>109</v>
      </c>
      <c r="N10" s="80" t="str">
        <f xml:space="preserve"> IFERROR( INDEX($E$5:$E$54, MATCH(表格1_3373[[#This Row],[方音符號]], $C$5:$C$54,0)), "")</f>
        <v>[tʰ]</v>
      </c>
    </row>
    <row r="11" spans="2:15" ht="38.25">
      <c r="B11" s="60">
        <f t="shared" si="0"/>
        <v>7</v>
      </c>
      <c r="C11" s="47" t="s">
        <v>112</v>
      </c>
      <c r="D11" s="64" t="s">
        <v>72</v>
      </c>
      <c r="E11" s="72" t="s">
        <v>71</v>
      </c>
      <c r="F11" s="48" t="s">
        <v>72</v>
      </c>
      <c r="G11" s="49" t="s">
        <v>43</v>
      </c>
      <c r="J11" s="1">
        <v>7</v>
      </c>
      <c r="K11" s="79" t="s">
        <v>43</v>
      </c>
      <c r="L11" s="80" t="s">
        <v>72</v>
      </c>
      <c r="M11" s="81" t="s">
        <v>112</v>
      </c>
      <c r="N11" s="80" t="str">
        <f xml:space="preserve"> IFERROR( INDEX($E$5:$E$54, MATCH(表格1_3373[[#This Row],[方音符號]], $C$5:$C$54,0)), "")</f>
        <v>[n]</v>
      </c>
    </row>
    <row r="12" spans="2:15" ht="38.25">
      <c r="B12" s="60">
        <f t="shared" si="0"/>
        <v>8</v>
      </c>
      <c r="C12" s="54" t="s">
        <v>113</v>
      </c>
      <c r="D12" s="66" t="s">
        <v>69</v>
      </c>
      <c r="E12" s="74" t="s">
        <v>68</v>
      </c>
      <c r="F12" s="55" t="s">
        <v>69</v>
      </c>
      <c r="G12" s="56" t="s">
        <v>114</v>
      </c>
      <c r="J12" s="1">
        <v>8</v>
      </c>
      <c r="K12" s="79" t="s">
        <v>114</v>
      </c>
      <c r="L12" s="80" t="s">
        <v>69</v>
      </c>
      <c r="M12" s="81" t="s">
        <v>113</v>
      </c>
      <c r="N12" s="80" t="str">
        <f xml:space="preserve"> IFERROR( INDEX($E$5:$E$54, MATCH(表格1_3373[[#This Row],[方音符號]], $C$5:$C$54,0)), "")</f>
        <v>[l]</v>
      </c>
    </row>
    <row r="13" spans="2:15" ht="38.25">
      <c r="B13" s="58">
        <f t="shared" si="0"/>
        <v>9</v>
      </c>
      <c r="C13" s="47" t="s">
        <v>115</v>
      </c>
      <c r="D13" s="64" t="s">
        <v>66</v>
      </c>
      <c r="E13" s="72" t="s">
        <v>65</v>
      </c>
      <c r="F13" s="48" t="s">
        <v>66</v>
      </c>
      <c r="G13" s="49" t="s">
        <v>27</v>
      </c>
      <c r="J13" s="1">
        <v>9</v>
      </c>
      <c r="K13" s="79" t="s">
        <v>27</v>
      </c>
      <c r="L13" s="80" t="s">
        <v>66</v>
      </c>
      <c r="M13" s="81" t="s">
        <v>115</v>
      </c>
      <c r="N13" s="80" t="str">
        <f xml:space="preserve"> IFERROR( INDEX($E$5:$E$54, MATCH(表格1_3373[[#This Row],[方音符號]], $C$5:$C$54,0)), "")</f>
        <v>[k]</v>
      </c>
    </row>
    <row r="14" spans="2:15" ht="38.25">
      <c r="B14" s="60">
        <f t="shared" si="0"/>
        <v>10</v>
      </c>
      <c r="C14" s="47" t="s">
        <v>116</v>
      </c>
      <c r="D14" s="64" t="s">
        <v>64</v>
      </c>
      <c r="E14" s="72" t="s">
        <v>63</v>
      </c>
      <c r="F14" s="48" t="s">
        <v>117</v>
      </c>
      <c r="G14" s="49" t="s">
        <v>118</v>
      </c>
      <c r="J14" s="1">
        <v>10</v>
      </c>
      <c r="K14" s="79" t="s">
        <v>120</v>
      </c>
      <c r="L14" s="80" t="s">
        <v>54</v>
      </c>
      <c r="M14" s="81" t="s">
        <v>115</v>
      </c>
      <c r="N14" s="80" t="str">
        <f xml:space="preserve"> IFERROR( INDEX($E$5:$E$54, MATCH(表格1_3373[[#This Row],[方音符號]], $C$5:$C$54,0)), "")</f>
        <v>[k]</v>
      </c>
    </row>
    <row r="15" spans="2:15" ht="38.25">
      <c r="B15" s="60">
        <f t="shared" si="0"/>
        <v>11</v>
      </c>
      <c r="C15" s="47" t="s">
        <v>119</v>
      </c>
      <c r="D15" s="64" t="s">
        <v>54</v>
      </c>
      <c r="E15" s="72" t="s">
        <v>53</v>
      </c>
      <c r="F15" s="48" t="s">
        <v>54</v>
      </c>
      <c r="G15" s="49" t="s">
        <v>120</v>
      </c>
      <c r="J15" s="1">
        <v>11</v>
      </c>
      <c r="K15" s="79" t="s">
        <v>118</v>
      </c>
      <c r="L15" s="80" t="s">
        <v>117</v>
      </c>
      <c r="M15" s="81" t="s">
        <v>116</v>
      </c>
      <c r="N15" s="80" t="str">
        <f xml:space="preserve"> IFERROR( INDEX($E$5:$E$54, MATCH(表格1_3373[[#This Row],[方音符號]], $C$5:$C$54,0)), "")</f>
        <v>[kʰ]</v>
      </c>
    </row>
    <row r="16" spans="2:15" ht="38.25">
      <c r="B16" s="60">
        <f t="shared" si="0"/>
        <v>12</v>
      </c>
      <c r="C16" s="47" t="s">
        <v>121</v>
      </c>
      <c r="D16" s="64" t="s">
        <v>13</v>
      </c>
      <c r="E16" s="72" t="s">
        <v>238</v>
      </c>
      <c r="F16" s="50" t="s">
        <v>111</v>
      </c>
      <c r="G16" s="49" t="s">
        <v>122</v>
      </c>
      <c r="J16" s="1">
        <v>12</v>
      </c>
      <c r="K16" s="79" t="s">
        <v>142</v>
      </c>
      <c r="L16" s="80" t="s">
        <v>210</v>
      </c>
      <c r="M16" s="81" t="s">
        <v>116</v>
      </c>
      <c r="N16" s="80" t="str">
        <f xml:space="preserve"> IFERROR( INDEX($E$5:$E$54, MATCH(表格1_3373[[#This Row],[方音符號]], $C$5:$C$54,0)), "")</f>
        <v>[kʰ]</v>
      </c>
    </row>
    <row r="17" spans="2:14" ht="38.25">
      <c r="B17" s="58">
        <f t="shared" si="0"/>
        <v>13</v>
      </c>
      <c r="C17" s="51" t="s">
        <v>123</v>
      </c>
      <c r="D17" s="65" t="s">
        <v>124</v>
      </c>
      <c r="E17" s="73" t="s">
        <v>46</v>
      </c>
      <c r="F17" s="52" t="s">
        <v>124</v>
      </c>
      <c r="G17" s="53" t="s">
        <v>125</v>
      </c>
      <c r="J17" s="1">
        <v>13</v>
      </c>
      <c r="K17" s="79" t="s">
        <v>124</v>
      </c>
      <c r="L17" s="80" t="s">
        <v>62</v>
      </c>
      <c r="M17" s="81" t="s">
        <v>133</v>
      </c>
      <c r="N17" s="80" t="str">
        <f xml:space="preserve"> IFERROR( INDEX($E$5:$E$54, MATCH(表格1_3373[[#This Row],[方音符號]], $C$5:$C$54,0)), "")</f>
        <v>[h]</v>
      </c>
    </row>
    <row r="18" spans="2:14" ht="38.25">
      <c r="B18" s="60">
        <f t="shared" si="0"/>
        <v>14</v>
      </c>
      <c r="C18" s="47" t="s">
        <v>126</v>
      </c>
      <c r="D18" s="64" t="s">
        <v>127</v>
      </c>
      <c r="E18" s="72" t="s">
        <v>44</v>
      </c>
      <c r="F18" s="48" t="s">
        <v>128</v>
      </c>
      <c r="G18" s="49" t="s">
        <v>62</v>
      </c>
      <c r="J18" s="1">
        <v>14</v>
      </c>
      <c r="K18" s="79" t="s">
        <v>188</v>
      </c>
      <c r="L18" s="80" t="s">
        <v>166</v>
      </c>
      <c r="M18" s="81" t="s">
        <v>190</v>
      </c>
      <c r="N18" s="80" t="str">
        <f xml:space="preserve"> IFERROR( INDEX($E$5:$E$54, MATCH(表格1_3373[[#This Row],[方音符號]], $C$5:$C$54,0)), "")</f>
        <v>[t͡ɕ]</v>
      </c>
    </row>
    <row r="19" spans="2:14" ht="38.25">
      <c r="B19" s="60">
        <f t="shared" si="0"/>
        <v>15</v>
      </c>
      <c r="C19" s="47" t="s">
        <v>129</v>
      </c>
      <c r="D19" s="64" t="s">
        <v>130</v>
      </c>
      <c r="E19" s="72" t="s">
        <v>48</v>
      </c>
      <c r="F19" s="48" t="s">
        <v>130</v>
      </c>
      <c r="G19" s="49" t="s">
        <v>131</v>
      </c>
      <c r="J19" s="1">
        <v>15</v>
      </c>
      <c r="K19" s="79" t="s">
        <v>171</v>
      </c>
      <c r="L19" s="80" t="s">
        <v>169</v>
      </c>
      <c r="M19" s="81" t="s">
        <v>190</v>
      </c>
      <c r="N19" s="80" t="str">
        <f xml:space="preserve"> IFERROR( INDEX($E$5:$E$54, MATCH(表格1_3373[[#This Row],[方音符號]], $C$5:$C$54,0)), "")</f>
        <v>[t͡ɕ]</v>
      </c>
    </row>
    <row r="20" spans="2:14" ht="38.25">
      <c r="B20" s="60">
        <f t="shared" si="0"/>
        <v>16</v>
      </c>
      <c r="C20" s="54" t="s">
        <v>132</v>
      </c>
      <c r="D20" s="66" t="s">
        <v>43</v>
      </c>
      <c r="E20" s="74" t="s">
        <v>42</v>
      </c>
      <c r="F20" s="55" t="s">
        <v>43</v>
      </c>
      <c r="G20" s="56" t="s">
        <v>72</v>
      </c>
      <c r="J20" s="1">
        <v>16</v>
      </c>
      <c r="K20" s="79" t="s">
        <v>186</v>
      </c>
      <c r="L20" s="80" t="s">
        <v>128</v>
      </c>
      <c r="M20" s="81" t="s">
        <v>191</v>
      </c>
      <c r="N20" s="80" t="str">
        <f xml:space="preserve"> IFERROR( INDEX($E$5:$E$54, MATCH(表格1_3373[[#This Row],[方音符號]], $C$5:$C$54,0)), "")</f>
        <v>[t͡ɕʰ]</v>
      </c>
    </row>
    <row r="21" spans="2:14" ht="38.25">
      <c r="B21" s="58">
        <f t="shared" si="0"/>
        <v>17</v>
      </c>
      <c r="C21" s="51" t="s">
        <v>190</v>
      </c>
      <c r="D21" s="65" t="s">
        <v>204</v>
      </c>
      <c r="E21" s="73" t="s">
        <v>59</v>
      </c>
      <c r="F21" s="52"/>
      <c r="G21" s="59"/>
      <c r="J21" s="1">
        <v>17</v>
      </c>
      <c r="K21" s="79" t="s">
        <v>122</v>
      </c>
      <c r="L21" s="80" t="s">
        <v>174</v>
      </c>
      <c r="M21" s="81" t="s">
        <v>193</v>
      </c>
      <c r="N21" s="80" t="str">
        <f xml:space="preserve"> IFERROR( INDEX($E$5:$E$54, MATCH(表格1_3373[[#This Row],[方音符號]], $C$5:$C$54,0)), "")</f>
        <v>[ɕ]</v>
      </c>
    </row>
    <row r="22" spans="2:14" ht="38.25">
      <c r="B22" s="60">
        <f t="shared" si="0"/>
        <v>18</v>
      </c>
      <c r="C22" s="47" t="s">
        <v>191</v>
      </c>
      <c r="D22" s="64" t="s">
        <v>205</v>
      </c>
      <c r="E22" s="72" t="s">
        <v>57</v>
      </c>
      <c r="F22" s="48"/>
      <c r="G22" s="61"/>
      <c r="J22" s="1">
        <v>18</v>
      </c>
      <c r="K22" s="79" t="s">
        <v>125</v>
      </c>
      <c r="L22" s="80" t="s">
        <v>211</v>
      </c>
      <c r="M22" s="81" t="s">
        <v>123</v>
      </c>
      <c r="N22" s="80" t="str">
        <f xml:space="preserve"> IFERROR( INDEX($E$5:$E$54, MATCH(表格1_3373[[#This Row],[方音符號]], $C$5:$C$54,0)), "")</f>
        <v>[t͡s]</v>
      </c>
    </row>
    <row r="23" spans="2:14" ht="38.25">
      <c r="B23" s="60">
        <f t="shared" si="0"/>
        <v>19</v>
      </c>
      <c r="C23" s="47" t="s">
        <v>192</v>
      </c>
      <c r="D23" s="64" t="s">
        <v>207</v>
      </c>
      <c r="E23" s="72" t="s">
        <v>51</v>
      </c>
      <c r="F23" s="48"/>
      <c r="G23" s="61"/>
      <c r="J23" s="1">
        <v>19</v>
      </c>
      <c r="K23" s="79" t="s">
        <v>131</v>
      </c>
      <c r="L23" s="80" t="s">
        <v>130</v>
      </c>
      <c r="M23" s="81" t="s">
        <v>123</v>
      </c>
      <c r="N23" s="80" t="str">
        <f xml:space="preserve"> IFERROR( INDEX($E$5:$E$54, MATCH(表格1_3373[[#This Row],[方音符號]], $C$5:$C$54,0)), "")</f>
        <v>[t͡s]</v>
      </c>
    </row>
    <row r="24" spans="2:14" ht="38.25">
      <c r="B24" s="60">
        <f t="shared" si="0"/>
        <v>20</v>
      </c>
      <c r="C24" s="47" t="s">
        <v>193</v>
      </c>
      <c r="D24" s="64" t="s">
        <v>206</v>
      </c>
      <c r="E24" s="72" t="s">
        <v>55</v>
      </c>
      <c r="F24" s="48"/>
      <c r="G24" s="61"/>
      <c r="J24" s="1">
        <v>20</v>
      </c>
      <c r="K24" s="79" t="s">
        <v>62</v>
      </c>
      <c r="L24" s="80" t="s">
        <v>124</v>
      </c>
      <c r="M24" s="81" t="s">
        <v>126</v>
      </c>
      <c r="N24" s="80" t="str">
        <f xml:space="preserve"> IFERROR( INDEX($E$5:$E$54, MATCH(表格1_3373[[#This Row],[方音符號]], $C$5:$C$54,0)), "")</f>
        <v>[t͡sʰ]</v>
      </c>
    </row>
    <row r="25" spans="2:14" ht="38.25">
      <c r="B25" s="58">
        <f t="shared" si="0"/>
        <v>21</v>
      </c>
      <c r="C25" s="51" t="s">
        <v>133</v>
      </c>
      <c r="D25" s="65" t="s">
        <v>62</v>
      </c>
      <c r="E25" s="73" t="s">
        <v>61</v>
      </c>
      <c r="F25" s="52" t="s">
        <v>62</v>
      </c>
      <c r="G25" s="59" t="s">
        <v>124</v>
      </c>
      <c r="J25" s="1">
        <v>21</v>
      </c>
      <c r="K25" s="79" t="s">
        <v>72</v>
      </c>
      <c r="L25" s="80" t="s">
        <v>43</v>
      </c>
      <c r="M25" s="81" t="s">
        <v>132</v>
      </c>
      <c r="N25" s="80" t="str">
        <f xml:space="preserve"> IFERROR( INDEX($E$5:$E$54, MATCH(表格1_3373[[#This Row],[方音符號]], $C$5:$C$54,0)), "")</f>
        <v>[s]</v>
      </c>
    </row>
    <row r="26" spans="2:14" ht="38.25">
      <c r="B26" s="62">
        <f t="shared" si="0"/>
        <v>22</v>
      </c>
      <c r="C26" s="54" t="s">
        <v>121</v>
      </c>
      <c r="D26" s="66" t="s">
        <v>13</v>
      </c>
      <c r="E26" s="74" t="s">
        <v>242</v>
      </c>
      <c r="F26" s="55" t="s">
        <v>111</v>
      </c>
      <c r="G26" s="63" t="s">
        <v>122</v>
      </c>
      <c r="J26" s="1">
        <v>22</v>
      </c>
      <c r="K26" s="79" t="s">
        <v>212</v>
      </c>
      <c r="L26" s="80" t="s">
        <v>35</v>
      </c>
      <c r="M26" s="81" t="s">
        <v>136</v>
      </c>
      <c r="N26" s="80" t="str">
        <f xml:space="preserve"> IFERROR( INDEX($E$5:$E$54, MATCH(表格1_3373[[#This Row],[方音符號]], $C$5:$C$54,0)), "")</f>
        <v>[a]</v>
      </c>
    </row>
    <row r="27" spans="2:14" ht="38.25">
      <c r="B27" s="57">
        <f t="shared" si="0"/>
        <v>23</v>
      </c>
      <c r="C27" s="47" t="s">
        <v>134</v>
      </c>
      <c r="D27" s="64" t="s">
        <v>41</v>
      </c>
      <c r="E27" s="72" t="s">
        <v>40</v>
      </c>
      <c r="F27" s="48" t="s">
        <v>41</v>
      </c>
      <c r="G27" s="49" t="s">
        <v>39</v>
      </c>
      <c r="J27" s="1">
        <v>23</v>
      </c>
      <c r="K27" s="79" t="s">
        <v>172</v>
      </c>
      <c r="L27" s="80" t="s">
        <v>213</v>
      </c>
      <c r="M27" s="81" t="s">
        <v>101</v>
      </c>
      <c r="N27" s="80" t="str">
        <f xml:space="preserve"> IFERROR( INDEX($E$5:$E$54, MATCH(表格1_3373[[#This Row],[方音符號]], $C$5:$C$54,0)), "")</f>
        <v>[p]</v>
      </c>
    </row>
    <row r="28" spans="2:14" ht="38.25">
      <c r="B28" s="57">
        <f t="shared" si="0"/>
        <v>24</v>
      </c>
      <c r="C28" s="47" t="s">
        <v>135</v>
      </c>
      <c r="D28" s="64" t="s">
        <v>39</v>
      </c>
      <c r="E28" s="72" t="s">
        <v>38</v>
      </c>
      <c r="F28" s="48" t="s">
        <v>39</v>
      </c>
      <c r="G28" s="49" t="s">
        <v>130</v>
      </c>
      <c r="J28" s="1">
        <v>24</v>
      </c>
      <c r="K28" s="79" t="s">
        <v>41</v>
      </c>
      <c r="L28" s="80" t="s">
        <v>138</v>
      </c>
      <c r="M28" s="81" t="s">
        <v>137</v>
      </c>
      <c r="N28" s="80" t="str">
        <f xml:space="preserve"> IFERROR( INDEX($E$5:$E$54, MATCH(表格1_3373[[#This Row],[方音符號]], $C$5:$C$54,0)), "")</f>
        <v>[ɔ]</v>
      </c>
    </row>
    <row r="29" spans="2:14" ht="38.25">
      <c r="B29" s="58">
        <f t="shared" si="0"/>
        <v>25</v>
      </c>
      <c r="C29" s="51" t="s">
        <v>136</v>
      </c>
      <c r="D29" s="65" t="s">
        <v>35</v>
      </c>
      <c r="E29" s="73" t="s">
        <v>34</v>
      </c>
      <c r="F29" s="52" t="s">
        <v>35</v>
      </c>
      <c r="G29" s="59">
        <v>8</v>
      </c>
      <c r="J29" s="1">
        <v>25</v>
      </c>
      <c r="K29" s="79" t="s">
        <v>150</v>
      </c>
      <c r="L29" s="80" t="s">
        <v>144</v>
      </c>
      <c r="M29" s="81" t="s">
        <v>137</v>
      </c>
      <c r="N29" s="80" t="str">
        <f xml:space="preserve"> IFERROR( INDEX($E$5:$E$54, MATCH(表格1_3373[[#This Row],[方音符號]], $C$5:$C$54,0)), "")</f>
        <v>[ɔ]</v>
      </c>
    </row>
    <row r="30" spans="2:14" ht="38.25">
      <c r="B30" s="60">
        <f t="shared" si="0"/>
        <v>26</v>
      </c>
      <c r="C30" s="47" t="s">
        <v>137</v>
      </c>
      <c r="D30" s="64" t="s">
        <v>33</v>
      </c>
      <c r="E30" s="72" t="s">
        <v>239</v>
      </c>
      <c r="F30" s="48" t="s">
        <v>138</v>
      </c>
      <c r="G30" s="61" t="s">
        <v>41</v>
      </c>
      <c r="J30" s="1">
        <v>26</v>
      </c>
      <c r="K30" s="79" t="s">
        <v>66</v>
      </c>
      <c r="L30" s="80" t="s">
        <v>31</v>
      </c>
      <c r="M30" s="81" t="s">
        <v>139</v>
      </c>
      <c r="N30" s="80" t="str">
        <f xml:space="preserve"> IFERROR( INDEX($E$5:$E$54, MATCH(表格1_3373[[#This Row],[方音符號]], $C$5:$C$54,0)), "")</f>
        <v>[ə]</v>
      </c>
    </row>
    <row r="31" spans="2:14" ht="38.25">
      <c r="B31" s="60">
        <f t="shared" si="0"/>
        <v>27</v>
      </c>
      <c r="C31" s="47" t="s">
        <v>201</v>
      </c>
      <c r="D31" s="64" t="s">
        <v>31</v>
      </c>
      <c r="E31" s="72" t="s">
        <v>30</v>
      </c>
      <c r="F31" s="48" t="s">
        <v>31</v>
      </c>
      <c r="G31" s="61" t="s">
        <v>66</v>
      </c>
      <c r="J31" s="1">
        <v>27</v>
      </c>
      <c r="K31" s="79" t="s">
        <v>31</v>
      </c>
      <c r="L31" s="80" t="s">
        <v>27</v>
      </c>
      <c r="M31" s="81" t="s">
        <v>214</v>
      </c>
      <c r="N31" s="80" t="str">
        <f xml:space="preserve"> IFERROR( INDEX($E$5:$E$54, MATCH(表格1_3373[[#This Row],[方音符號]], $C$5:$C$54,0)), "")</f>
        <v>[e]</v>
      </c>
    </row>
    <row r="32" spans="2:14" ht="38.25">
      <c r="B32" s="62">
        <f t="shared" si="0"/>
        <v>28</v>
      </c>
      <c r="C32" s="54" t="s">
        <v>230</v>
      </c>
      <c r="D32" s="66" t="s">
        <v>27</v>
      </c>
      <c r="E32" s="74" t="s">
        <v>26</v>
      </c>
      <c r="F32" s="55" t="s">
        <v>27</v>
      </c>
      <c r="G32" s="63" t="s">
        <v>140</v>
      </c>
      <c r="J32" s="1">
        <v>28</v>
      </c>
      <c r="K32" s="79" t="s">
        <v>138</v>
      </c>
      <c r="L32" s="80" t="s">
        <v>120</v>
      </c>
      <c r="M32" s="81" t="s">
        <v>214</v>
      </c>
      <c r="N32" s="80" t="str">
        <f xml:space="preserve"> IFERROR( INDEX($E$5:$E$54, MATCH(表格1_3373[[#This Row],[方音符號]], $C$5:$C$54,0)), "")</f>
        <v>[e]</v>
      </c>
    </row>
    <row r="33" spans="2:14" ht="38.25">
      <c r="B33" s="57">
        <f t="shared" si="0"/>
        <v>29</v>
      </c>
      <c r="C33" s="47" t="s">
        <v>143</v>
      </c>
      <c r="D33" s="64" t="s">
        <v>17</v>
      </c>
      <c r="E33" s="72" t="s">
        <v>240</v>
      </c>
      <c r="F33" s="48" t="s">
        <v>144</v>
      </c>
      <c r="G33" s="49" t="s">
        <v>145</v>
      </c>
      <c r="J33" s="1">
        <v>29</v>
      </c>
      <c r="K33" s="79" t="s">
        <v>215</v>
      </c>
      <c r="L33" s="80" t="s">
        <v>125</v>
      </c>
      <c r="M33" s="81" t="s">
        <v>149</v>
      </c>
      <c r="N33" s="80" t="str">
        <f xml:space="preserve"> IFERROR( INDEX($E$5:$E$54, MATCH(表格1_3373[[#This Row],[方音符號]], $C$5:$C$54,0)), "")</f>
        <v>[ai]</v>
      </c>
    </row>
    <row r="34" spans="2:14" ht="38.25">
      <c r="B34" s="57">
        <f t="shared" si="0"/>
        <v>30</v>
      </c>
      <c r="C34" s="47" t="s">
        <v>141</v>
      </c>
      <c r="D34" s="64" t="s">
        <v>19</v>
      </c>
      <c r="E34" s="72" t="s">
        <v>257</v>
      </c>
      <c r="F34" s="48" t="s">
        <v>142</v>
      </c>
      <c r="G34" s="49" t="s">
        <v>83</v>
      </c>
      <c r="J34" s="1">
        <v>30</v>
      </c>
      <c r="K34" s="79" t="s">
        <v>179</v>
      </c>
      <c r="L34" s="80" t="s">
        <v>131</v>
      </c>
      <c r="M34" s="81" t="s">
        <v>177</v>
      </c>
      <c r="N34" s="80" t="str">
        <f xml:space="preserve"> IFERROR( INDEX($E$5:$E$54, MATCH(表格1_3373[[#This Row],[方音符號]], $C$5:$C$54,0)), "")</f>
        <v>[ãĩ]</v>
      </c>
    </row>
    <row r="35" spans="2:14" ht="38.25">
      <c r="B35" s="57">
        <f t="shared" si="0"/>
        <v>31</v>
      </c>
      <c r="C35" s="47" t="s">
        <v>146</v>
      </c>
      <c r="D35" s="67" t="s">
        <v>15</v>
      </c>
      <c r="E35" s="75" t="s">
        <v>241</v>
      </c>
      <c r="F35" s="48" t="s">
        <v>147</v>
      </c>
      <c r="G35" s="49" t="s">
        <v>148</v>
      </c>
      <c r="J35" s="1">
        <v>31</v>
      </c>
      <c r="K35" s="79" t="s">
        <v>69</v>
      </c>
      <c r="L35" s="80" t="s">
        <v>114</v>
      </c>
      <c r="M35" s="81" t="s">
        <v>153</v>
      </c>
      <c r="N35" s="80" t="str">
        <f xml:space="preserve"> IFERROR( INDEX($E$5:$E$54, MATCH(表格1_3373[[#This Row],[方音符號]], $C$5:$C$54,0)), "")</f>
        <v>[au]</v>
      </c>
    </row>
    <row r="36" spans="2:14" ht="38.25">
      <c r="B36" s="57">
        <f t="shared" si="0"/>
        <v>32</v>
      </c>
      <c r="C36" s="47" t="s">
        <v>149</v>
      </c>
      <c r="D36" s="64" t="s">
        <v>29</v>
      </c>
      <c r="E36" s="72" t="s">
        <v>28</v>
      </c>
      <c r="F36" s="48" t="s">
        <v>150</v>
      </c>
      <c r="G36" s="49">
        <v>9</v>
      </c>
      <c r="J36" s="1">
        <v>32</v>
      </c>
      <c r="K36" s="79" t="s">
        <v>152</v>
      </c>
      <c r="L36" s="80" t="s">
        <v>168</v>
      </c>
      <c r="M36" s="81" t="s">
        <v>153</v>
      </c>
      <c r="N36" s="80" t="str">
        <f xml:space="preserve"> IFERROR( INDEX($E$5:$E$54, MATCH(表格1_3373[[#This Row],[方音符號]], $C$5:$C$54,0)), "")</f>
        <v>[au]</v>
      </c>
    </row>
    <row r="37" spans="2:14" ht="38.25">
      <c r="B37" s="57">
        <f t="shared" si="0"/>
        <v>33</v>
      </c>
      <c r="C37" s="47" t="s">
        <v>153</v>
      </c>
      <c r="D37" s="64" t="s">
        <v>25</v>
      </c>
      <c r="E37" s="72" t="s">
        <v>24</v>
      </c>
      <c r="F37" s="48" t="s">
        <v>154</v>
      </c>
      <c r="G37" s="49" t="s">
        <v>69</v>
      </c>
      <c r="J37" s="1">
        <v>33</v>
      </c>
      <c r="K37" s="79" t="s">
        <v>140</v>
      </c>
      <c r="L37" s="80" t="s">
        <v>216</v>
      </c>
      <c r="M37" s="81" t="s">
        <v>182</v>
      </c>
      <c r="N37" s="80" t="str">
        <f xml:space="preserve"> IFERROR( INDEX($E$5:$E$54, MATCH(表格1_3373[[#This Row],[方音符號]], $C$5:$C$54,0)), "")</f>
        <v>[am]</v>
      </c>
    </row>
    <row r="38" spans="2:14" ht="38.25">
      <c r="B38" s="57">
        <f t="shared" si="0"/>
        <v>34</v>
      </c>
      <c r="C38" s="47" t="s">
        <v>151</v>
      </c>
      <c r="D38" s="64" t="s">
        <v>21</v>
      </c>
      <c r="E38" s="72" t="s">
        <v>20</v>
      </c>
      <c r="F38" s="48" t="s">
        <v>152</v>
      </c>
      <c r="G38" s="49">
        <v>0</v>
      </c>
      <c r="J38" s="1">
        <v>34</v>
      </c>
      <c r="K38" s="79" t="s">
        <v>176</v>
      </c>
      <c r="L38" s="80" t="s">
        <v>217</v>
      </c>
      <c r="M38" s="81" t="s">
        <v>184</v>
      </c>
      <c r="N38" s="80" t="str">
        <f xml:space="preserve"> IFERROR( INDEX($E$5:$E$54, MATCH(表格1_3373[[#This Row],[方音符號]], $C$5:$C$54,0)), "")</f>
        <v>[ɔm]</v>
      </c>
    </row>
    <row r="39" spans="2:14" ht="38.25">
      <c r="B39" s="58">
        <f t="shared" si="0"/>
        <v>35</v>
      </c>
      <c r="C39" s="51" t="s">
        <v>155</v>
      </c>
      <c r="D39" s="65" t="s">
        <v>156</v>
      </c>
      <c r="E39" s="73" t="s">
        <v>36</v>
      </c>
      <c r="F39" s="52" t="s">
        <v>157</v>
      </c>
      <c r="G39" s="59" t="s">
        <v>37</v>
      </c>
      <c r="J39" s="1">
        <v>35</v>
      </c>
      <c r="K39" s="79" t="s">
        <v>37</v>
      </c>
      <c r="L39" s="80" t="s">
        <v>157</v>
      </c>
      <c r="M39" s="81" t="s">
        <v>155</v>
      </c>
      <c r="N39" s="80" t="str">
        <f xml:space="preserve"> IFERROR( INDEX($E$5:$E$54, MATCH(表格1_3373[[#This Row],[方音符號]], $C$5:$C$54,0)), "")</f>
        <v>[m̩]</v>
      </c>
    </row>
    <row r="40" spans="2:14" ht="38.25">
      <c r="B40" s="62">
        <f t="shared" si="0"/>
        <v>36</v>
      </c>
      <c r="C40" s="54" t="s">
        <v>254</v>
      </c>
      <c r="D40" s="76" t="s">
        <v>256</v>
      </c>
      <c r="E40" s="74" t="s">
        <v>255</v>
      </c>
      <c r="F40" s="55" t="s">
        <v>111</v>
      </c>
      <c r="G40" s="63" t="s">
        <v>122</v>
      </c>
      <c r="J40" s="1">
        <v>36</v>
      </c>
      <c r="K40" s="79" t="s">
        <v>218</v>
      </c>
      <c r="L40" s="80" t="s">
        <v>218</v>
      </c>
      <c r="M40" s="81" t="s">
        <v>151</v>
      </c>
      <c r="N40" s="80" t="str">
        <f xml:space="preserve"> IFERROR( INDEX($E$5:$E$54, MATCH(表格1_3373[[#This Row],[方音符號]], $C$5:$C$54,0)), "")</f>
        <v>[an]</v>
      </c>
    </row>
    <row r="41" spans="2:14" ht="38.25">
      <c r="B41" s="58">
        <f t="shared" si="0"/>
        <v>37</v>
      </c>
      <c r="C41" s="51" t="s">
        <v>165</v>
      </c>
      <c r="D41" s="65" t="s">
        <v>231</v>
      </c>
      <c r="E41" s="73" t="s">
        <v>4</v>
      </c>
      <c r="F41" s="52" t="s">
        <v>166</v>
      </c>
      <c r="G41" s="59" t="s">
        <v>154</v>
      </c>
      <c r="J41" s="1">
        <v>37</v>
      </c>
      <c r="K41" s="79" t="s">
        <v>83</v>
      </c>
      <c r="L41" s="80" t="s">
        <v>219</v>
      </c>
      <c r="M41" s="81" t="s">
        <v>141</v>
      </c>
      <c r="N41" s="80" t="str">
        <f xml:space="preserve"> IFERROR( INDEX($E$5:$E$54, MATCH(表格1_3373[[#This Row],[方音符號]], $C$5:$C$54,0)), "")</f>
        <v>[n]</v>
      </c>
    </row>
    <row r="42" spans="2:14" ht="38.25">
      <c r="B42" s="60">
        <f t="shared" si="0"/>
        <v>38</v>
      </c>
      <c r="C42" s="47" t="s">
        <v>167</v>
      </c>
      <c r="D42" s="64" t="s">
        <v>232</v>
      </c>
      <c r="E42" s="72" t="s">
        <v>2</v>
      </c>
      <c r="F42" s="48" t="s">
        <v>168</v>
      </c>
      <c r="G42" s="61" t="s">
        <v>169</v>
      </c>
      <c r="J42" s="1">
        <v>38</v>
      </c>
      <c r="K42" s="79" t="s">
        <v>145</v>
      </c>
      <c r="L42" s="80" t="s">
        <v>220</v>
      </c>
      <c r="M42" s="81" t="s">
        <v>143</v>
      </c>
      <c r="N42" s="80" t="str">
        <f xml:space="preserve"> IFERROR( INDEX($E$5:$E$54, MATCH(表格1_3373[[#This Row],[方音符號]], $C$5:$C$54,0)), "")</f>
        <v>[aŋ]</v>
      </c>
    </row>
    <row r="43" spans="2:14" ht="38.25">
      <c r="B43" s="60">
        <f t="shared" si="0"/>
        <v>39</v>
      </c>
      <c r="C43" s="47" t="s">
        <v>170</v>
      </c>
      <c r="D43" s="64" t="s">
        <v>233</v>
      </c>
      <c r="E43" s="72" t="s">
        <v>6</v>
      </c>
      <c r="F43" s="48" t="s">
        <v>171</v>
      </c>
      <c r="G43" s="61" t="s">
        <v>172</v>
      </c>
      <c r="J43" s="1">
        <v>39</v>
      </c>
      <c r="K43" s="79" t="s">
        <v>221</v>
      </c>
      <c r="L43" s="80" t="s">
        <v>222</v>
      </c>
      <c r="M43" s="81" t="s">
        <v>187</v>
      </c>
      <c r="N43" s="80" t="str">
        <f xml:space="preserve"> IFERROR( INDEX($E$5:$E$54, MATCH(表格1_3373[[#This Row],[方音符號]], $C$5:$C$54,0)), "")</f>
        <v>[ɔŋ]</v>
      </c>
    </row>
    <row r="44" spans="2:14" ht="38.25">
      <c r="B44" s="60">
        <f t="shared" si="0"/>
        <v>40</v>
      </c>
      <c r="C44" s="47" t="s">
        <v>173</v>
      </c>
      <c r="D44" s="64" t="s">
        <v>234</v>
      </c>
      <c r="E44" s="72" t="s">
        <v>243</v>
      </c>
      <c r="F44" s="48" t="s">
        <v>174</v>
      </c>
      <c r="G44" s="61" t="s">
        <v>150</v>
      </c>
      <c r="J44" s="1">
        <v>40</v>
      </c>
      <c r="K44" s="79" t="s">
        <v>148</v>
      </c>
      <c r="L44" s="80" t="s">
        <v>171</v>
      </c>
      <c r="M44" s="81" t="s">
        <v>146</v>
      </c>
      <c r="N44" s="80" t="str">
        <f xml:space="preserve"> IFERROR( INDEX($E$5:$E$54, MATCH(表格1_3373[[#This Row],[方音符號]], $C$5:$C$54,0)), "")</f>
        <v>[əŋ]</v>
      </c>
    </row>
    <row r="45" spans="2:14" ht="38.25">
      <c r="B45" s="60">
        <f t="shared" si="0"/>
        <v>41</v>
      </c>
      <c r="C45" s="47" t="s">
        <v>175</v>
      </c>
      <c r="D45" s="64" t="s">
        <v>235</v>
      </c>
      <c r="E45" s="72" t="s">
        <v>0</v>
      </c>
      <c r="F45" s="48" t="s">
        <v>120</v>
      </c>
      <c r="G45" s="61" t="s">
        <v>176</v>
      </c>
      <c r="J45" s="1">
        <v>41</v>
      </c>
      <c r="K45" s="79" t="s">
        <v>223</v>
      </c>
      <c r="L45" s="80" t="s">
        <v>188</v>
      </c>
      <c r="M45" s="81" t="s">
        <v>189</v>
      </c>
      <c r="N45" s="80" t="str">
        <f xml:space="preserve"> IFERROR( INDEX($E$5:$E$54, MATCH(表格1_3373[[#This Row],[方音符號]], $C$5:$C$54,0)), "")</f>
        <v>[ŋ̍]</v>
      </c>
    </row>
    <row r="46" spans="2:14" ht="38.25">
      <c r="B46" s="60">
        <f t="shared" si="0"/>
        <v>42</v>
      </c>
      <c r="C46" s="47" t="s">
        <v>177</v>
      </c>
      <c r="D46" s="64" t="s">
        <v>236</v>
      </c>
      <c r="E46" s="72" t="s">
        <v>258</v>
      </c>
      <c r="F46" s="48" t="s">
        <v>178</v>
      </c>
      <c r="G46" s="61" t="s">
        <v>179</v>
      </c>
      <c r="J46" s="1">
        <v>42</v>
      </c>
      <c r="K46" s="79" t="s">
        <v>39</v>
      </c>
      <c r="L46" s="80" t="s">
        <v>41</v>
      </c>
      <c r="M46" s="81" t="s">
        <v>134</v>
      </c>
      <c r="N46" s="80" t="str">
        <f xml:space="preserve"> IFERROR( INDEX($E$5:$E$54, MATCH(表格1_3373[[#This Row],[方音符號]], $C$5:$C$54,0)), "")</f>
        <v>[i]</v>
      </c>
    </row>
    <row r="47" spans="2:14" ht="38.25">
      <c r="B47" s="62">
        <f t="shared" si="0"/>
        <v>43</v>
      </c>
      <c r="C47" s="54" t="s">
        <v>180</v>
      </c>
      <c r="D47" s="66" t="s">
        <v>237</v>
      </c>
      <c r="E47" s="74" t="s">
        <v>259</v>
      </c>
      <c r="F47" s="55" t="s">
        <v>181</v>
      </c>
      <c r="G47" s="63" t="s">
        <v>152</v>
      </c>
      <c r="J47" s="1">
        <v>43</v>
      </c>
      <c r="K47" s="79" t="s">
        <v>154</v>
      </c>
      <c r="L47" s="80" t="s">
        <v>150</v>
      </c>
      <c r="M47" s="81" t="s">
        <v>134</v>
      </c>
      <c r="N47" s="80" t="str">
        <f xml:space="preserve"> IFERROR( INDEX($E$5:$E$54, MATCH(表格1_3373[[#This Row],[方音符號]], $C$5:$C$54,0)), "")</f>
        <v>[i]</v>
      </c>
    </row>
    <row r="48" spans="2:14" ht="38.25">
      <c r="B48" s="60">
        <f t="shared" si="0"/>
        <v>44</v>
      </c>
      <c r="C48" s="47" t="s">
        <v>182</v>
      </c>
      <c r="D48" s="64" t="s">
        <v>11</v>
      </c>
      <c r="E48" s="72" t="s">
        <v>10</v>
      </c>
      <c r="F48" s="48" t="s">
        <v>183</v>
      </c>
      <c r="G48" s="61" t="s">
        <v>122</v>
      </c>
      <c r="J48" s="1">
        <v>44</v>
      </c>
      <c r="K48" s="79" t="s">
        <v>130</v>
      </c>
      <c r="L48" s="80" t="s">
        <v>39</v>
      </c>
      <c r="M48" s="81" t="s">
        <v>135</v>
      </c>
      <c r="N48" s="80" t="str">
        <f xml:space="preserve"> IFERROR( INDEX($E$5:$E$54, MATCH(表格1_3373[[#This Row],[方音符號]], $C$5:$C$54,0)), "")</f>
        <v>[u]</v>
      </c>
    </row>
    <row r="49" spans="2:14" ht="38.25">
      <c r="B49" s="60">
        <f t="shared" si="0"/>
        <v>45</v>
      </c>
      <c r="C49" s="47" t="s">
        <v>184</v>
      </c>
      <c r="D49" s="64" t="s">
        <v>9</v>
      </c>
      <c r="E49" s="72" t="s">
        <v>244</v>
      </c>
      <c r="F49" s="48" t="s">
        <v>185</v>
      </c>
      <c r="G49" s="61" t="s">
        <v>186</v>
      </c>
      <c r="J49" s="1">
        <v>45</v>
      </c>
      <c r="K49" s="79" t="s">
        <v>169</v>
      </c>
      <c r="L49" s="80" t="s">
        <v>154</v>
      </c>
      <c r="M49" s="81" t="s">
        <v>135</v>
      </c>
      <c r="N49" s="80" t="str">
        <f xml:space="preserve"> IFERROR( INDEX($E$5:$E$54, MATCH(表格1_3373[[#This Row],[方音符號]], $C$5:$C$54,0)), "")</f>
        <v>[u]</v>
      </c>
    </row>
    <row r="50" spans="2:14" ht="38.25">
      <c r="B50" s="62">
        <f t="shared" si="0"/>
        <v>46</v>
      </c>
      <c r="C50" s="54" t="s">
        <v>187</v>
      </c>
      <c r="D50" s="66" t="s">
        <v>23</v>
      </c>
      <c r="E50" s="74" t="s">
        <v>245</v>
      </c>
      <c r="F50" s="55" t="s">
        <v>131</v>
      </c>
      <c r="G50" s="63" t="s">
        <v>188</v>
      </c>
      <c r="J50" s="1">
        <v>46</v>
      </c>
      <c r="K50" s="79" t="s">
        <v>158</v>
      </c>
      <c r="L50" s="80" t="s">
        <v>208</v>
      </c>
      <c r="M50" s="81" t="s">
        <v>158</v>
      </c>
      <c r="N50" s="80" t="str">
        <f xml:space="preserve"> IFERROR( INDEX($E$5:$E$54, MATCH(表格1_3373[[#This Row],[方音符號]], $C$5:$C$54,0)), "")</f>
        <v/>
      </c>
    </row>
    <row r="51" spans="2:14" ht="38.25">
      <c r="B51" s="58">
        <f t="shared" si="0"/>
        <v>47</v>
      </c>
      <c r="C51" s="51" t="s">
        <v>194</v>
      </c>
      <c r="D51" s="77" t="s">
        <v>250</v>
      </c>
      <c r="E51" s="73" t="s">
        <v>246</v>
      </c>
      <c r="F51" s="52"/>
      <c r="G51" s="59"/>
      <c r="J51" s="1">
        <v>47</v>
      </c>
      <c r="K51" s="79" t="s">
        <v>224</v>
      </c>
      <c r="L51" s="80" t="s">
        <v>209</v>
      </c>
      <c r="M51" s="81" t="s">
        <v>161</v>
      </c>
      <c r="N51" s="80" t="str">
        <f xml:space="preserve"> IFERROR( INDEX($E$5:$E$54, MATCH(表格1_3373[[#This Row],[方音符號]], $C$5:$C$54,0)), "")</f>
        <v/>
      </c>
    </row>
    <row r="52" spans="2:14" ht="38.25">
      <c r="B52" s="60">
        <f t="shared" si="0"/>
        <v>48</v>
      </c>
      <c r="C52" s="47" t="s">
        <v>195</v>
      </c>
      <c r="D52" s="67" t="s">
        <v>252</v>
      </c>
      <c r="E52" s="72" t="s">
        <v>247</v>
      </c>
      <c r="F52" s="48"/>
      <c r="G52" s="61"/>
      <c r="J52" s="1">
        <v>48</v>
      </c>
      <c r="K52" s="79" t="s">
        <v>225</v>
      </c>
      <c r="L52" s="80" t="s">
        <v>225</v>
      </c>
      <c r="M52" s="81" t="s">
        <v>163</v>
      </c>
      <c r="N52" s="80" t="str">
        <f xml:space="preserve"> IFERROR( INDEX($E$5:$E$54, MATCH(表格1_3373[[#This Row],[方音符號]], $C$5:$C$54,0)), "")</f>
        <v/>
      </c>
    </row>
    <row r="53" spans="2:14" ht="38.25">
      <c r="B53" s="60">
        <f t="shared" si="0"/>
        <v>49</v>
      </c>
      <c r="C53" s="47" t="s">
        <v>196</v>
      </c>
      <c r="D53" s="67" t="s">
        <v>251</v>
      </c>
      <c r="E53" s="72" t="s">
        <v>248</v>
      </c>
      <c r="F53" s="48"/>
      <c r="G53" s="61"/>
      <c r="J53" s="1">
        <v>49</v>
      </c>
      <c r="K53" s="79" t="s">
        <v>78</v>
      </c>
      <c r="L53" s="80" t="s">
        <v>215</v>
      </c>
      <c r="M53" s="81" t="s">
        <v>194</v>
      </c>
      <c r="N53" s="80" t="str">
        <f xml:space="preserve"> IFERROR( INDEX($E$5:$E$54, MATCH(表格1_3373[[#This Row],[方音符號]], $C$5:$C$54,0)), "")</f>
        <v>[p̚]</v>
      </c>
    </row>
    <row r="54" spans="2:14" ht="38.25">
      <c r="B54" s="62">
        <f t="shared" si="0"/>
        <v>50</v>
      </c>
      <c r="C54" s="54" t="s">
        <v>197</v>
      </c>
      <c r="D54" s="76" t="s">
        <v>253</v>
      </c>
      <c r="E54" s="74" t="s">
        <v>249</v>
      </c>
      <c r="F54" s="55"/>
      <c r="G54" s="63"/>
      <c r="J54" s="1">
        <v>50</v>
      </c>
      <c r="K54" s="79" t="s">
        <v>76</v>
      </c>
      <c r="L54" s="80" t="s">
        <v>226</v>
      </c>
      <c r="M54" s="81" t="s">
        <v>195</v>
      </c>
      <c r="N54" s="80" t="str">
        <f xml:space="preserve"> IFERROR( INDEX($E$5:$E$54, MATCH(表格1_3373[[#This Row],[方音符號]], $C$5:$C$54,0)), "")</f>
        <v>[t̚]</v>
      </c>
    </row>
    <row r="55" spans="2:14" ht="38.25">
      <c r="B55" s="58">
        <f t="shared" si="0"/>
        <v>51</v>
      </c>
      <c r="C55" s="51" t="s">
        <v>158</v>
      </c>
      <c r="D55" s="65" t="s">
        <v>159</v>
      </c>
      <c r="E55" s="73"/>
      <c r="F55" s="52" t="s">
        <v>159</v>
      </c>
      <c r="G55" s="59" t="s">
        <v>159</v>
      </c>
      <c r="J55" s="1">
        <v>51</v>
      </c>
      <c r="K55" s="79" t="s">
        <v>54</v>
      </c>
      <c r="L55" s="80" t="s">
        <v>176</v>
      </c>
      <c r="M55" s="81" t="s">
        <v>196</v>
      </c>
      <c r="N55" s="80" t="str">
        <f xml:space="preserve"> IFERROR( INDEX($E$5:$E$54, MATCH(表格1_3373[[#This Row],[方音符號]], $C$5:$C$54,0)), "")</f>
        <v>[k̚]</v>
      </c>
    </row>
    <row r="56" spans="2:14" ht="38.25">
      <c r="B56" s="60">
        <f t="shared" si="0"/>
        <v>52</v>
      </c>
      <c r="C56" s="47" t="s">
        <v>160</v>
      </c>
      <c r="D56" s="64">
        <v>5</v>
      </c>
      <c r="E56" s="72"/>
      <c r="F56" s="48">
        <v>5</v>
      </c>
      <c r="G56" s="61">
        <v>6</v>
      </c>
      <c r="J56" s="1">
        <v>52</v>
      </c>
      <c r="K56" s="79" t="s">
        <v>211</v>
      </c>
      <c r="L56" s="80" t="s">
        <v>224</v>
      </c>
      <c r="M56" s="81" t="s">
        <v>197</v>
      </c>
      <c r="N56" s="80" t="str">
        <f xml:space="preserve"> IFERROR( INDEX($E$5:$E$54, MATCH(表格1_3373[[#This Row],[方音符號]], $C$5:$C$54,0)), "")</f>
        <v>[ʔ]</v>
      </c>
    </row>
    <row r="57" spans="2:14" ht="38.25">
      <c r="B57" s="60">
        <f t="shared" si="0"/>
        <v>53</v>
      </c>
      <c r="C57" s="47" t="s">
        <v>161</v>
      </c>
      <c r="D57" s="64">
        <v>2</v>
      </c>
      <c r="E57" s="72"/>
      <c r="F57" s="48">
        <v>2</v>
      </c>
      <c r="G57" s="61">
        <v>4</v>
      </c>
      <c r="J57" s="1">
        <v>53</v>
      </c>
      <c r="K57" s="79" t="s">
        <v>227</v>
      </c>
      <c r="L57" s="80" t="s">
        <v>228</v>
      </c>
      <c r="M57" s="81" t="s">
        <v>160</v>
      </c>
      <c r="N57" s="80" t="str">
        <f xml:space="preserve"> IFERROR( INDEX($E$5:$E$54, MATCH(表格1_3373[[#This Row],[方音符號]], $C$5:$C$54,0)), "")</f>
        <v/>
      </c>
    </row>
    <row r="58" spans="2:14" ht="38.25">
      <c r="B58" s="60">
        <f t="shared" si="0"/>
        <v>54</v>
      </c>
      <c r="C58" s="47" t="s">
        <v>162</v>
      </c>
      <c r="D58" s="64" t="s">
        <v>159</v>
      </c>
      <c r="E58" s="72"/>
      <c r="F58" s="48" t="s">
        <v>159</v>
      </c>
      <c r="G58" s="61" t="s">
        <v>159</v>
      </c>
      <c r="J58" s="1">
        <v>54</v>
      </c>
      <c r="K58" s="79" t="s">
        <v>228</v>
      </c>
      <c r="L58" s="80" t="s">
        <v>229</v>
      </c>
      <c r="M58" s="81" t="s">
        <v>164</v>
      </c>
      <c r="N58" s="80" t="str">
        <f xml:space="preserve"> IFERROR( INDEX($E$5:$E$54, MATCH(表格1_3373[[#This Row],[方音符號]], $C$5:$C$54,0)), "")</f>
        <v/>
      </c>
    </row>
    <row r="59" spans="2:14" ht="38.25">
      <c r="B59" s="60">
        <f t="shared" si="0"/>
        <v>55</v>
      </c>
      <c r="C59" s="47" t="s">
        <v>163</v>
      </c>
      <c r="D59" s="64">
        <v>3</v>
      </c>
      <c r="E59" s="72"/>
      <c r="F59" s="48">
        <v>3</v>
      </c>
      <c r="G59" s="61">
        <v>3</v>
      </c>
      <c r="J59" s="1">
        <v>55</v>
      </c>
      <c r="K59" s="79" t="s">
        <v>229</v>
      </c>
      <c r="L59" s="80" t="s">
        <v>212</v>
      </c>
      <c r="M59" s="81" t="s">
        <v>162</v>
      </c>
      <c r="N59" s="80" t="str">
        <f xml:space="preserve"> IFERROR( INDEX($E$5:$E$54, MATCH(表格1_3373[[#This Row],[方音符號]], $C$5:$C$54,0)), "")</f>
        <v/>
      </c>
    </row>
    <row r="60" spans="2:14" ht="32.25">
      <c r="B60" s="62">
        <f t="shared" si="0"/>
        <v>56</v>
      </c>
      <c r="C60" s="54" t="s">
        <v>164</v>
      </c>
      <c r="D60" s="66">
        <v>7</v>
      </c>
      <c r="E60" s="74"/>
      <c r="F60" s="55">
        <v>7</v>
      </c>
      <c r="G60" s="63">
        <v>5</v>
      </c>
      <c r="L60" s="80"/>
      <c r="N60" s="80"/>
    </row>
    <row r="61" spans="2:14" ht="28.5">
      <c r="L61" s="80"/>
      <c r="N61" s="80"/>
    </row>
    <row r="62" spans="2:14" ht="28.5">
      <c r="L62" s="80"/>
      <c r="N62" s="80"/>
    </row>
    <row r="63" spans="2:14" ht="28.5">
      <c r="L63" s="80"/>
      <c r="N63" s="80"/>
    </row>
    <row r="64" spans="2:14" ht="28.5">
      <c r="L64" s="80"/>
      <c r="N64" s="80"/>
    </row>
    <row r="65" spans="12:14" ht="28.5">
      <c r="L65" s="80"/>
      <c r="N65" s="80"/>
    </row>
    <row r="66" spans="12:14" ht="28.5">
      <c r="L66" s="80"/>
      <c r="N66" s="80"/>
    </row>
    <row r="67" spans="12:14" ht="28.5">
      <c r="L67" s="80"/>
      <c r="N67" s="80"/>
    </row>
    <row r="68" spans="12:14" ht="28.5">
      <c r="L68" s="80"/>
      <c r="N68" s="80"/>
    </row>
    <row r="69" spans="12:14" ht="28.5">
      <c r="L69" s="80"/>
      <c r="N69" s="80"/>
    </row>
    <row r="70" spans="12:14" ht="28.5">
      <c r="L70" s="80"/>
      <c r="N70" s="80"/>
    </row>
    <row r="71" spans="12:14" ht="28.5">
      <c r="L71" s="80"/>
      <c r="N71" s="80"/>
    </row>
    <row r="72" spans="12:14" ht="28.5">
      <c r="L72" s="80"/>
      <c r="N72" s="80"/>
    </row>
    <row r="74" spans="12:14">
      <c r="L74" s="79" t="str">
        <f xml:space="preserve"> _xlfn.CONCAT(按鍵編碼)</f>
        <v/>
      </c>
    </row>
    <row r="75" spans="12:14">
      <c r="L75" s="79" t="str">
        <f xml:space="preserve"> _xlfn.CONCAT(方音符號)</f>
        <v>ㄅㄆㄇﾟㄉㄊㄋㄌ˪ㄍㄎㄏˋㄫㆠㆣㆡˊㄗㄘㄙ˫ㄧㄨㆬㄚㆦㄜㄝＰＬㄥㄣ</v>
      </c>
    </row>
    <row r="76" spans="12:14">
      <c r="L76" s="82" t="str">
        <f xml:space="preserve"> "xlit|" &amp; L74 &amp; "|" &amp; L75 &amp; "|"</f>
        <v>xlit||ㄅㄆㄇﾟㄉㄊㄋㄌ˪ㄍㄎㄏˋㄫㆠㆣㆡˊㄗㄘㄙ˫ㄧㄨㆬㄚㆦㄜㄝＰＬㄥㄣ|</v>
      </c>
      <c r="N76" s="82"/>
    </row>
  </sheetData>
  <phoneticPr fontId="2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7</vt:i4>
      </vt:variant>
    </vt:vector>
  </HeadingPairs>
  <TitlesOfParts>
    <vt:vector size="11" baseType="lpstr">
      <vt:lpstr>鍵盤</vt:lpstr>
      <vt:lpstr>RIME對映編碼 (萌台語)</vt:lpstr>
      <vt:lpstr>RIME對映編碼 (萌台語) (2)</vt:lpstr>
      <vt:lpstr>工作表1</vt:lpstr>
      <vt:lpstr>'RIME對映編碼 (萌台語)'!方音符號</vt:lpstr>
      <vt:lpstr>'RIME對映編碼 (萌台語) (2)'!方音符號</vt:lpstr>
      <vt:lpstr>'RIME對映編碼 (萌台語)'!按鍵編碼</vt:lpstr>
      <vt:lpstr>'RIME對映編碼 (萌台語) (2)'!按鍵編碼</vt:lpstr>
      <vt:lpstr>工作表1!按鍵編碼</vt:lpstr>
      <vt:lpstr>'RIME對映編碼 (萌台語)'!鍵盤位置</vt:lpstr>
      <vt:lpstr>'RIME對映編碼 (萌台語) (2)'!鍵盤位置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2024-06-12T09:44:27Z</dcterms:created>
  <dcterms:modified xsi:type="dcterms:W3CDTF">2024-06-25T12:38:26Z</dcterms:modified>
</cp:coreProperties>
</file>