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0D873CFC-597D-4D45-AEE7-9B8DD92CE27C}" xr6:coauthVersionLast="47" xr6:coauthVersionMax="47" xr10:uidLastSave="{00000000-0000-0000-0000-000000000000}"/>
  <bookViews>
    <workbookView xWindow="-120" yWindow="-120" windowWidth="29040" windowHeight="15840" activeTab="1" xr2:uid="{697E5EC0-96E8-4B40-92D8-46098CD7ED74}"/>
  </bookViews>
  <sheets>
    <sheet name="RIME對映編碼 (Schema解析)" sheetId="21" r:id="rId1"/>
    <sheet name=" 河洛方音鍵盤設計" sheetId="19" r:id="rId2"/>
    <sheet name="RIME解析(BoPoMoFo)" sheetId="16" state="hidden" r:id="rId3"/>
    <sheet name="RIME對映編碼 (BoPoMoFo)" sheetId="15" state="hidden" r:id="rId4"/>
    <sheet name="RIME對映編碼 (萌台語)" sheetId="14" state="hidden" r:id="rId5"/>
    <sheet name="RIME對映編碼 (台語方音)" sheetId="11" state="hidden" r:id="rId6"/>
    <sheet name="RIME對映編碼 (注音符號)" sheetId="10" state="hidden" r:id="rId7"/>
    <sheet name="RIME對映編碼 (注音符號V2)" sheetId="12" state="hidden" r:id="rId8"/>
    <sheet name="RIME對映編碼 (台語方音V3)" sheetId="13" state="hidden" r:id="rId9"/>
    <sheet name="注音符號字典編碼" sheetId="17" r:id="rId10"/>
    <sheet name="RIME對映編碼 (原設計)" sheetId="9" state="hidden" r:id="rId11"/>
    <sheet name="RIME指令 (與漢字拼音相容版)" sheetId="5" state="hidden" r:id="rId12"/>
    <sheet name="工作表2" sheetId="8" r:id="rId13"/>
    <sheet name=" 河洛方音鍵盤設計 (V1)" sheetId="23" state="hidden" r:id="rId14"/>
    <sheet name="RIME對映編碼" sheetId="2" state="hidden" r:id="rId15"/>
    <sheet name="RIME對映編碼 (河洛方音)" sheetId="20" state="hidden" r:id="rId16"/>
    <sheet name="鍵盤圖" sheetId="6" state="hidden" r:id="rId17"/>
  </sheets>
  <externalReferences>
    <externalReference r:id="rId18"/>
  </externalReferences>
  <definedNames>
    <definedName name="_xlnm._FilterDatabase" localSheetId="9" hidden="1">注音符號字典編碼!$I$5:$L$60</definedName>
    <definedName name="方音符號" localSheetId="2">'RIME解析(BoPoMoFo)'!$W$3:$W$57</definedName>
    <definedName name="方音符號" localSheetId="0">'RIME對映編碼 (Schema解析)'!#REF!</definedName>
    <definedName name="方音符號" localSheetId="5">'RIME對映編碼 (台語方音)'!$T$3:$T$44</definedName>
    <definedName name="方音符號" localSheetId="8">'RIME對映編碼 (台語方音V3)'!$T$3:$T$44</definedName>
    <definedName name="方音符號" localSheetId="15">'RIME對映編碼 (河洛方音)'!$T$3:$T$57</definedName>
    <definedName name="方音符號" localSheetId="6">'RIME對映編碼 (注音符號)'!$T$3:$T$44</definedName>
    <definedName name="方音符號" localSheetId="7">'RIME對映編碼 (注音符號V2)'!$T$3:$T$44</definedName>
    <definedName name="方音符號" localSheetId="10">'RIME對映編碼 (原設計)'!$X$3:$X$47</definedName>
    <definedName name="方音符號" localSheetId="4">'RIME對映編碼 (萌台語)'!$T$3:$T$57</definedName>
    <definedName name="方音符號">#REF!</definedName>
    <definedName name="字典編碼" localSheetId="1">#REF!</definedName>
    <definedName name="字典編碼" localSheetId="13">#REF!</definedName>
    <definedName name="字典編碼" localSheetId="0">#REF!</definedName>
    <definedName name="字典編碼" localSheetId="15">#REF!</definedName>
    <definedName name="字典編碼">RIME對映編碼!$BI$9:$BI$55</definedName>
    <definedName name="注音符號">RIME對映編碼!$BG$9:$BG$55</definedName>
    <definedName name="拼音字母" localSheetId="1">#REF!</definedName>
    <definedName name="拼音字母" localSheetId="13">#REF!</definedName>
    <definedName name="拼音字母" localSheetId="2">'RIME解析(BoPoMoFo)'!#REF!</definedName>
    <definedName name="拼音字母" localSheetId="0">'RIME對映編碼 (Schema解析)'!#REF!</definedName>
    <definedName name="拼音字母" localSheetId="5">'RIME對映編碼 (台語方音)'!#REF!</definedName>
    <definedName name="拼音字母" localSheetId="8">'RIME對映編碼 (台語方音V3)'!#REF!</definedName>
    <definedName name="拼音字母" localSheetId="15">'RIME對映編碼 (河洛方音)'!#REF!</definedName>
    <definedName name="拼音字母" localSheetId="6">'RIME對映編碼 (注音符號)'!#REF!</definedName>
    <definedName name="拼音字母" localSheetId="7">'RIME對映編碼 (注音符號V2)'!#REF!</definedName>
    <definedName name="拼音字母" localSheetId="10">'RIME對映編碼 (原設計)'!$Y$3:$Y$47</definedName>
    <definedName name="拼音字母" localSheetId="4">'RIME對映編碼 (萌台語)'!#REF!</definedName>
    <definedName name="拼音字母">RIME對映編碼!$BH$9:$BH$55</definedName>
    <definedName name="按鍵編碼" localSheetId="2">'RIME解析(BoPoMoFo)'!$U$3:$U$57</definedName>
    <definedName name="按鍵編碼" localSheetId="0">'RIME對映編碼 (Schema解析)'!$V$3:$V$57</definedName>
    <definedName name="按鍵編碼" localSheetId="5">'RIME對映編碼 (台語方音)'!$S$3:$S$44</definedName>
    <definedName name="按鍵編碼" localSheetId="8">'RIME對映編碼 (台語方音V3)'!$S$3:$S$44</definedName>
    <definedName name="按鍵編碼" localSheetId="15">'RIME對映編碼 (河洛方音)'!$S$3:$S$57</definedName>
    <definedName name="按鍵編碼" localSheetId="6">'RIME對映編碼 (注音符號)'!$S$3:$S$44</definedName>
    <definedName name="按鍵編碼" localSheetId="7">'RIME對映編碼 (注音符號V2)'!$S$3:$S$44</definedName>
    <definedName name="按鍵編碼" localSheetId="10">'RIME對映編碼 (原設計)'!$Z$3:$Z$47</definedName>
    <definedName name="按鍵編碼" localSheetId="4">'RIME對映編碼 (萌台語)'!$S$3:$S$57</definedName>
    <definedName name="國際音標" localSheetId="2">'RIME解析(BoPoMoFo)'!#REF!</definedName>
    <definedName name="國際音標" localSheetId="0">'RIME對映編碼 (Schema解析)'!#REF!</definedName>
    <definedName name="國際音標" localSheetId="5">'RIME對映編碼 (台語方音)'!#REF!</definedName>
    <definedName name="國際音標" localSheetId="8">'RIME對映編碼 (台語方音V3)'!#REF!</definedName>
    <definedName name="國際音標" localSheetId="15">'RIME對映編碼 (河洛方音)'!#REF!</definedName>
    <definedName name="國際音標" localSheetId="6">'RIME對映編碼 (注音符號)'!#REF!</definedName>
    <definedName name="國際音標" localSheetId="7">'RIME對映編碼 (注音符號V2)'!#REF!</definedName>
    <definedName name="國際音標" localSheetId="10">'RIME對映編碼 (原設計)'!$AA$3:$AA$47</definedName>
    <definedName name="國際音標" localSheetId="4">'RIME對映編碼 (萌台語)'!#REF!</definedName>
    <definedName name="鍵盤位置" localSheetId="2">'RIME解析(BoPoMoFo)'!$T$3:$T$57</definedName>
    <definedName name="鍵盤位置" localSheetId="0">'RIME對映編碼 (Schema解析)'!$T$3:$T$57</definedName>
    <definedName name="鍵盤位置" localSheetId="5">'RIME對映編碼 (台語方音)'!$R$3:$R$44</definedName>
    <definedName name="鍵盤位置" localSheetId="8">'RIME對映編碼 (台語方音V3)'!$R$3:$R$44</definedName>
    <definedName name="鍵盤位置" localSheetId="15">'RIME對映編碼 (河洛方音)'!$R$3:$R$57</definedName>
    <definedName name="鍵盤位置" localSheetId="6">'RIME對映編碼 (注音符號)'!$R$3:$R$44</definedName>
    <definedName name="鍵盤位置" localSheetId="7">'RIME對映編碼 (注音符號V2)'!$R$3:$R$44</definedName>
    <definedName name="鍵盤位置" localSheetId="10">'RIME對映編碼 (原設計)'!$W$3:$W$47</definedName>
    <definedName name="鍵盤位置" localSheetId="4">'RIME對映編碼 (萌台語)'!$R$3:$R$57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17" l="1"/>
  <c r="AJ18" i="19" a="1"/>
  <c r="AJ18" i="19" s="1"/>
  <c r="AJ19" i="19" a="1"/>
  <c r="AJ19" i="19" s="1"/>
  <c r="B38" i="17"/>
  <c r="AJ15" i="19" a="1"/>
  <c r="AJ15" i="19" s="1"/>
  <c r="BC15" i="19" a="1"/>
  <c r="BC15" i="19" s="1"/>
  <c r="BB15" i="19" a="1"/>
  <c r="BB15" i="19" s="1"/>
  <c r="BA15" i="19" a="1"/>
  <c r="BA15" i="19" s="1"/>
  <c r="AZ15" i="19" a="1"/>
  <c r="AZ15" i="19" s="1"/>
  <c r="AY15" i="19" a="1"/>
  <c r="AY15" i="19" s="1"/>
  <c r="AX15" i="19" a="1"/>
  <c r="AX15" i="19" s="1"/>
  <c r="BG15" i="19" a="1"/>
  <c r="BG15" i="19" s="1"/>
  <c r="BF15" i="19" a="1"/>
  <c r="BF15" i="19" s="1"/>
  <c r="BE15" i="19" a="1"/>
  <c r="BE15" i="19" s="1"/>
  <c r="BD15" i="19" a="1"/>
  <c r="BD15" i="19" s="1"/>
  <c r="AW15" i="19" a="1"/>
  <c r="AW15" i="19" s="1"/>
  <c r="AV15" i="19" a="1"/>
  <c r="AV15" i="19" s="1"/>
  <c r="AU15" i="19" a="1"/>
  <c r="AU15" i="19" s="1"/>
  <c r="AT15" i="19" a="1"/>
  <c r="AT15" i="19" s="1"/>
  <c r="AS15" i="19" a="1"/>
  <c r="AS15" i="19" s="1"/>
  <c r="AR15" i="19" a="1"/>
  <c r="AR15" i="19" s="1"/>
  <c r="AP15" i="19" a="1"/>
  <c r="AP15" i="19" s="1"/>
  <c r="AQ15" i="19" a="1"/>
  <c r="AQ15" i="19" s="1"/>
  <c r="AO15" i="19" a="1"/>
  <c r="AO15" i="19" s="1"/>
  <c r="AN15" i="19" a="1"/>
  <c r="AN15" i="19" s="1"/>
  <c r="AM15" i="19" a="1"/>
  <c r="AM15" i="19" s="1"/>
  <c r="AK15" i="19" a="1"/>
  <c r="AK15" i="19" s="1"/>
  <c r="AL15" i="19" a="1"/>
  <c r="AL15" i="19" s="1"/>
  <c r="AI15" i="19" a="1"/>
  <c r="AI15" i="19" s="1"/>
  <c r="AH15" i="19" a="1"/>
  <c r="AH15" i="19" s="1"/>
  <c r="AG15" i="19" a="1"/>
  <c r="AG15" i="19" s="1"/>
  <c r="AF15" i="19" a="1"/>
  <c r="AF15" i="19" s="1"/>
  <c r="AE15" i="19" a="1"/>
  <c r="AE15" i="19" s="1"/>
  <c r="AD15" i="19" a="1"/>
  <c r="AD15" i="19" s="1"/>
  <c r="AC15" i="19" a="1"/>
  <c r="AC15" i="19" s="1"/>
  <c r="AB15" i="19" a="1"/>
  <c r="AB15" i="19" s="1"/>
  <c r="AA15" i="19" a="1"/>
  <c r="AA15" i="19" s="1"/>
  <c r="Z15" i="19" a="1"/>
  <c r="Z15" i="19" s="1"/>
  <c r="Y15" i="19" a="1"/>
  <c r="Y15" i="19" s="1"/>
  <c r="X15" i="19" a="1"/>
  <c r="X15" i="19" s="1"/>
  <c r="W15" i="19" a="1"/>
  <c r="W15" i="19" s="1"/>
  <c r="V15" i="19" a="1"/>
  <c r="V15" i="19" s="1"/>
  <c r="U15" i="19" a="1"/>
  <c r="U15" i="19" s="1"/>
  <c r="T15" i="19" a="1"/>
  <c r="T15" i="19" s="1"/>
  <c r="S15" i="19" a="1"/>
  <c r="S15" i="19" s="1"/>
  <c r="R15" i="19" a="1"/>
  <c r="R15" i="19" s="1"/>
  <c r="Q15" i="19" a="1"/>
  <c r="Q15" i="19" s="1"/>
  <c r="P15" i="19" a="1"/>
  <c r="P15" i="19" s="1"/>
  <c r="O15" i="19" a="1"/>
  <c r="O15" i="19" s="1"/>
  <c r="N15" i="19" a="1"/>
  <c r="N15" i="19" s="1"/>
  <c r="M15" i="19" a="1"/>
  <c r="M15" i="19" s="1"/>
  <c r="L15" i="19" a="1"/>
  <c r="L15" i="19" s="1"/>
  <c r="K15" i="19" a="1"/>
  <c r="K15" i="19" s="1"/>
  <c r="J15" i="19" a="1"/>
  <c r="J15" i="19" s="1"/>
  <c r="I15" i="19" a="1"/>
  <c r="I15" i="19" s="1"/>
  <c r="H15" i="19" a="1"/>
  <c r="H15" i="19" s="1"/>
  <c r="G15" i="19" a="1"/>
  <c r="G15" i="19" s="1"/>
  <c r="F15" i="19" a="1"/>
  <c r="F15" i="19" s="1"/>
  <c r="E15" i="19" a="1"/>
  <c r="E15" i="19" s="1"/>
  <c r="D15" i="19" a="1"/>
  <c r="D15" i="19" s="1"/>
  <c r="R51" i="17" a="1"/>
  <c r="R51" i="17" s="1"/>
  <c r="Q51" i="17" a="1"/>
  <c r="Q51" i="17" s="1"/>
  <c r="R50" i="17" a="1"/>
  <c r="R50" i="17" s="1"/>
  <c r="Q50" i="17" a="1"/>
  <c r="Q50" i="17" s="1"/>
  <c r="R49" i="17" a="1"/>
  <c r="R49" i="17" s="1"/>
  <c r="Q49" i="17" a="1"/>
  <c r="Q49" i="17" s="1"/>
  <c r="R48" i="17" a="1"/>
  <c r="R48" i="17" s="1"/>
  <c r="Q48" i="17" a="1"/>
  <c r="Q48" i="17" s="1"/>
  <c r="R47" i="17" a="1"/>
  <c r="R47" i="17" s="1"/>
  <c r="Q47" i="17" a="1"/>
  <c r="Q47" i="17" s="1"/>
  <c r="R46" i="17" a="1"/>
  <c r="R46" i="17" s="1"/>
  <c r="Q46" i="17" a="1"/>
  <c r="Q46" i="17" s="1"/>
  <c r="R45" i="17" a="1"/>
  <c r="R45" i="17" s="1"/>
  <c r="Q45" i="17" a="1"/>
  <c r="Q45" i="17" s="1"/>
  <c r="R44" i="17" a="1"/>
  <c r="R44" i="17" s="1"/>
  <c r="Q44" i="17" a="1"/>
  <c r="Q44" i="17" s="1"/>
  <c r="R43" i="17" a="1"/>
  <c r="R43" i="17" s="1"/>
  <c r="Q43" i="17" a="1"/>
  <c r="Q43" i="17" s="1"/>
  <c r="R42" i="17" a="1"/>
  <c r="R42" i="17" s="1"/>
  <c r="Q42" i="17" a="1"/>
  <c r="Q42" i="17" s="1"/>
  <c r="R41" i="17" a="1"/>
  <c r="R41" i="17" s="1"/>
  <c r="Q41" i="17" a="1"/>
  <c r="Q41" i="17" s="1"/>
  <c r="R39" i="17" a="1"/>
  <c r="R39" i="17" s="1"/>
  <c r="Q39" i="17" a="1"/>
  <c r="Q39" i="17" s="1"/>
  <c r="R36" i="17" a="1"/>
  <c r="R36" i="17" s="1"/>
  <c r="Q36" i="17" a="1"/>
  <c r="Q36" i="17" s="1"/>
  <c r="R33" i="17" a="1"/>
  <c r="R33" i="17" s="1"/>
  <c r="Q33" i="17" a="1"/>
  <c r="Q33" i="17" s="1"/>
  <c r="R30" i="17" a="1"/>
  <c r="R30" i="17" s="1"/>
  <c r="Q30" i="17" a="1"/>
  <c r="Q30" i="17" s="1"/>
  <c r="R29" i="17" a="1"/>
  <c r="R29" i="17" s="1"/>
  <c r="Q29" i="17" a="1"/>
  <c r="Q29" i="17" s="1"/>
  <c r="R28" i="17" a="1"/>
  <c r="R28" i="17" s="1"/>
  <c r="Q28" i="17" a="1"/>
  <c r="Q28" i="17" s="1"/>
  <c r="R26" i="17" a="1"/>
  <c r="R26" i="17" s="1"/>
  <c r="Q26" i="17" a="1"/>
  <c r="Q26" i="17" s="1"/>
  <c r="R25" i="17" a="1"/>
  <c r="R25" i="17" s="1"/>
  <c r="Q25" i="17" a="1"/>
  <c r="Q25" i="17" s="1"/>
  <c r="R24" i="17" a="1"/>
  <c r="R24" i="17" s="1"/>
  <c r="Q24" i="17" a="1"/>
  <c r="Q24" i="17" s="1"/>
  <c r="R23" i="17" a="1"/>
  <c r="R23" i="17" s="1"/>
  <c r="Q23" i="17" a="1"/>
  <c r="Q23" i="17" s="1"/>
  <c r="R22" i="17" a="1"/>
  <c r="R22" i="17" s="1"/>
  <c r="Q22" i="17" a="1"/>
  <c r="Q22" i="17" s="1"/>
  <c r="R21" i="17" a="1"/>
  <c r="R21" i="17" s="1"/>
  <c r="Q21" i="17" a="1"/>
  <c r="Q21" i="17" s="1"/>
  <c r="R20" i="17" a="1"/>
  <c r="R20" i="17" s="1"/>
  <c r="Q20" i="17" a="1"/>
  <c r="Q20" i="17" s="1"/>
  <c r="R19" i="17" a="1"/>
  <c r="R19" i="17" s="1"/>
  <c r="Q19" i="17" a="1"/>
  <c r="Q19" i="17" s="1"/>
  <c r="R18" i="17" a="1"/>
  <c r="R18" i="17" s="1"/>
  <c r="Q18" i="17" a="1"/>
  <c r="Q18" i="17" s="1"/>
  <c r="R17" i="17" a="1"/>
  <c r="R17" i="17" s="1"/>
  <c r="Q17" i="17" a="1"/>
  <c r="Q17" i="17" s="1"/>
  <c r="R16" i="17" a="1"/>
  <c r="R16" i="17" s="1"/>
  <c r="Q16" i="17" a="1"/>
  <c r="Q16" i="17" s="1"/>
  <c r="R14" i="17" a="1"/>
  <c r="R14" i="17" s="1"/>
  <c r="Q14" i="17" a="1"/>
  <c r="Q14" i="17" s="1"/>
  <c r="R13" i="17" a="1"/>
  <c r="R13" i="17" s="1"/>
  <c r="Q13" i="17" a="1"/>
  <c r="Q13" i="17" s="1"/>
  <c r="R12" i="17" a="1"/>
  <c r="R12" i="17" s="1"/>
  <c r="Q12" i="17" a="1"/>
  <c r="Q12" i="17" s="1"/>
  <c r="R11" i="17" a="1"/>
  <c r="R11" i="17" s="1"/>
  <c r="Q11" i="17" a="1"/>
  <c r="Q11" i="17" s="1"/>
  <c r="R10" i="17" a="1"/>
  <c r="R10" i="17" s="1"/>
  <c r="Q10" i="17" a="1"/>
  <c r="Q10" i="17" s="1"/>
  <c r="R9" i="17" a="1"/>
  <c r="R9" i="17" s="1"/>
  <c r="Q9" i="17" a="1"/>
  <c r="Q9" i="17" s="1"/>
  <c r="R8" i="17" a="1"/>
  <c r="R8" i="17" s="1"/>
  <c r="Q8" i="17" a="1"/>
  <c r="Q8" i="17" s="1"/>
  <c r="R7" i="17" a="1"/>
  <c r="R7" i="17" s="1"/>
  <c r="Q7" i="17" a="1"/>
  <c r="Q7" i="17" s="1"/>
  <c r="L46" i="17" a="1"/>
  <c r="L46" i="17" s="1"/>
  <c r="K46" i="17" a="1"/>
  <c r="K46" i="17" s="1"/>
  <c r="L45" i="17" a="1"/>
  <c r="L45" i="17" s="1"/>
  <c r="K45" i="17" a="1"/>
  <c r="K45" i="17" s="1"/>
  <c r="L44" i="17" a="1"/>
  <c r="L44" i="17" s="1"/>
  <c r="K44" i="17" a="1"/>
  <c r="K44" i="17" s="1"/>
  <c r="L43" i="17" a="1"/>
  <c r="L43" i="17" s="1"/>
  <c r="K43" i="17" a="1"/>
  <c r="K43" i="17" s="1"/>
  <c r="L42" i="17" a="1"/>
  <c r="L42" i="17" s="1"/>
  <c r="K42" i="17" a="1"/>
  <c r="K42" i="17" s="1"/>
  <c r="L41" i="17" a="1"/>
  <c r="L41" i="17" s="1"/>
  <c r="K41" i="17" a="1"/>
  <c r="K41" i="17" s="1"/>
  <c r="L40" i="17" a="1"/>
  <c r="L40" i="17" s="1"/>
  <c r="K40" i="17" a="1"/>
  <c r="K40" i="17" s="1"/>
  <c r="L39" i="17" a="1"/>
  <c r="L39" i="17" s="1"/>
  <c r="K39" i="17" a="1"/>
  <c r="K39" i="17" s="1"/>
  <c r="L38" i="17" a="1"/>
  <c r="L38" i="17" s="1"/>
  <c r="K38" i="17" a="1"/>
  <c r="K38" i="17" s="1"/>
  <c r="L37" i="17" a="1"/>
  <c r="L37" i="17" s="1"/>
  <c r="K37" i="17" a="1"/>
  <c r="K37" i="17" s="1"/>
  <c r="L36" i="17" a="1"/>
  <c r="L36" i="17" s="1"/>
  <c r="K36" i="17" a="1"/>
  <c r="K36" i="17" s="1"/>
  <c r="L35" i="17" a="1"/>
  <c r="L35" i="17" s="1"/>
  <c r="K35" i="17" a="1"/>
  <c r="K35" i="17" s="1"/>
  <c r="L34" i="17" a="1"/>
  <c r="L34" i="17" s="1"/>
  <c r="K34" i="17" a="1"/>
  <c r="K34" i="17" s="1"/>
  <c r="L33" i="17" a="1"/>
  <c r="L33" i="17" s="1"/>
  <c r="K33" i="17" a="1"/>
  <c r="K33" i="17" s="1"/>
  <c r="L32" i="17" a="1"/>
  <c r="L32" i="17" s="1"/>
  <c r="K32" i="17" a="1"/>
  <c r="K32" i="17" s="1"/>
  <c r="L31" i="17" a="1"/>
  <c r="L31" i="17" s="1"/>
  <c r="K31" i="17" a="1"/>
  <c r="K31" i="17" s="1"/>
  <c r="L30" i="17" a="1"/>
  <c r="L30" i="17" s="1"/>
  <c r="K30" i="17" a="1"/>
  <c r="K30" i="17" s="1"/>
  <c r="L29" i="17" a="1"/>
  <c r="L29" i="17" s="1"/>
  <c r="K29" i="17" a="1"/>
  <c r="K29" i="17" s="1"/>
  <c r="L28" i="17" a="1"/>
  <c r="L28" i="17" s="1"/>
  <c r="K28" i="17" a="1"/>
  <c r="K28" i="17" s="1"/>
  <c r="L27" i="17" a="1"/>
  <c r="L27" i="17" s="1"/>
  <c r="K27" i="17" a="1"/>
  <c r="K27" i="17" s="1"/>
  <c r="L26" i="17" a="1"/>
  <c r="L26" i="17" s="1"/>
  <c r="K26" i="17" a="1"/>
  <c r="K26" i="17" s="1"/>
  <c r="L25" i="17" a="1"/>
  <c r="L25" i="17" s="1"/>
  <c r="K25" i="17" a="1"/>
  <c r="K25" i="17" s="1"/>
  <c r="L24" i="17" a="1"/>
  <c r="L24" i="17" s="1"/>
  <c r="K24" i="17" a="1"/>
  <c r="K24" i="17" s="1"/>
  <c r="L23" i="17" a="1"/>
  <c r="L23" i="17" s="1"/>
  <c r="K23" i="17" a="1"/>
  <c r="K23" i="17" s="1"/>
  <c r="L22" i="17" a="1"/>
  <c r="L22" i="17" s="1"/>
  <c r="K22" i="17" a="1"/>
  <c r="K22" i="17" s="1"/>
  <c r="L21" i="17" a="1"/>
  <c r="L21" i="17" s="1"/>
  <c r="K21" i="17" a="1"/>
  <c r="K21" i="17" s="1"/>
  <c r="L20" i="17" a="1"/>
  <c r="L20" i="17" s="1"/>
  <c r="K20" i="17" a="1"/>
  <c r="K20" i="17" s="1"/>
  <c r="L19" i="17" a="1"/>
  <c r="L19" i="17" s="1"/>
  <c r="K19" i="17" a="1"/>
  <c r="K19" i="17" s="1"/>
  <c r="L18" i="17" a="1"/>
  <c r="L18" i="17" s="1"/>
  <c r="K18" i="17" a="1"/>
  <c r="K18" i="17" s="1"/>
  <c r="L17" i="17" a="1"/>
  <c r="L17" i="17" s="1"/>
  <c r="K17" i="17" a="1"/>
  <c r="K17" i="17" s="1"/>
  <c r="L16" i="17" a="1"/>
  <c r="L16" i="17" s="1"/>
  <c r="K16" i="17" a="1"/>
  <c r="K16" i="17" s="1"/>
  <c r="L15" i="17" a="1"/>
  <c r="L15" i="17" s="1"/>
  <c r="K15" i="17" a="1"/>
  <c r="K15" i="17" s="1"/>
  <c r="L14" i="17" a="1"/>
  <c r="L14" i="17" s="1"/>
  <c r="K14" i="17" a="1"/>
  <c r="K14" i="17" s="1"/>
  <c r="L13" i="17" a="1"/>
  <c r="L13" i="17" s="1"/>
  <c r="K13" i="17" a="1"/>
  <c r="K13" i="17" s="1"/>
  <c r="L12" i="17" a="1"/>
  <c r="L12" i="17" s="1"/>
  <c r="K12" i="17" a="1"/>
  <c r="K12" i="17" s="1"/>
  <c r="L11" i="17" a="1"/>
  <c r="L11" i="17" s="1"/>
  <c r="K11" i="17" a="1"/>
  <c r="K11" i="17" s="1"/>
  <c r="L10" i="17" a="1"/>
  <c r="L10" i="17" s="1"/>
  <c r="K10" i="17" a="1"/>
  <c r="K10" i="17" s="1"/>
  <c r="L9" i="17" a="1"/>
  <c r="L9" i="17" s="1"/>
  <c r="K9" i="17" a="1"/>
  <c r="K9" i="17" s="1"/>
  <c r="L8" i="17" a="1"/>
  <c r="L8" i="17" s="1"/>
  <c r="K8" i="17" a="1"/>
  <c r="K8" i="17" s="1"/>
  <c r="L7" i="17" a="1"/>
  <c r="L7" i="17" s="1"/>
  <c r="K7" i="17" a="1"/>
  <c r="K7" i="17" s="1"/>
  <c r="K6" i="17" a="1"/>
  <c r="K6" i="17" s="1"/>
  <c r="L6" i="17" a="1"/>
  <c r="L6" i="17" s="1"/>
  <c r="CD5" i="19"/>
  <c r="CD6" i="19"/>
  <c r="CD7" i="19"/>
  <c r="CD8" i="19"/>
  <c r="CD9" i="19"/>
  <c r="CD10" i="19"/>
  <c r="CD11" i="19"/>
  <c r="CD12" i="19"/>
  <c r="CD13" i="19"/>
  <c r="CD14" i="19"/>
  <c r="CD15" i="19"/>
  <c r="CD16" i="19"/>
  <c r="CD17" i="19"/>
  <c r="CD18" i="19"/>
  <c r="CD19" i="19"/>
  <c r="CD20" i="19"/>
  <c r="CD21" i="19"/>
  <c r="CD22" i="19"/>
  <c r="CD23" i="19"/>
  <c r="CD24" i="19"/>
  <c r="CD25" i="19"/>
  <c r="CD26" i="19"/>
  <c r="CD27" i="19"/>
  <c r="CD28" i="19"/>
  <c r="CD29" i="19"/>
  <c r="CD30" i="19"/>
  <c r="CD31" i="19"/>
  <c r="CD32" i="19"/>
  <c r="CD33" i="19"/>
  <c r="CD34" i="19"/>
  <c r="CD35" i="19"/>
  <c r="CD36" i="19"/>
  <c r="CD37" i="19"/>
  <c r="CD38" i="19"/>
  <c r="CD39" i="19"/>
  <c r="CD47" i="19"/>
  <c r="CD48" i="19"/>
  <c r="CD40" i="19"/>
  <c r="CD41" i="19"/>
  <c r="CD42" i="19"/>
  <c r="CD43" i="19"/>
  <c r="CD44" i="19"/>
  <c r="CD45" i="19"/>
  <c r="CD46" i="19"/>
  <c r="CD49" i="19"/>
  <c r="CD50" i="19"/>
  <c r="CD51" i="19"/>
  <c r="CD52" i="19"/>
  <c r="CD4" i="19"/>
  <c r="BX5" i="19"/>
  <c r="BX6" i="19"/>
  <c r="BX7" i="19"/>
  <c r="BX8" i="19"/>
  <c r="BX9" i="19"/>
  <c r="BX10" i="19"/>
  <c r="BX11" i="19"/>
  <c r="BX12" i="19"/>
  <c r="BX13" i="19"/>
  <c r="BX14" i="19"/>
  <c r="BX15" i="19"/>
  <c r="BX16" i="19"/>
  <c r="BX17" i="19"/>
  <c r="BX18" i="19"/>
  <c r="BX19" i="19"/>
  <c r="BX20" i="19"/>
  <c r="BX21" i="19"/>
  <c r="BX22" i="19"/>
  <c r="BX23" i="19"/>
  <c r="BX24" i="19"/>
  <c r="BX25" i="19"/>
  <c r="BX26" i="19"/>
  <c r="BX27" i="19"/>
  <c r="BX28" i="19"/>
  <c r="BX29" i="19"/>
  <c r="BX30" i="19"/>
  <c r="BX31" i="19"/>
  <c r="BX32" i="19"/>
  <c r="BX33" i="19"/>
  <c r="BX34" i="19"/>
  <c r="BX35" i="19"/>
  <c r="BX36" i="19"/>
  <c r="BX37" i="19"/>
  <c r="BX38" i="19"/>
  <c r="BX39" i="19"/>
  <c r="BX40" i="19"/>
  <c r="BX41" i="19"/>
  <c r="BX42" i="19"/>
  <c r="BX43" i="19"/>
  <c r="BX44" i="19"/>
  <c r="BX45" i="19"/>
  <c r="BX4" i="19"/>
  <c r="AZ40" i="19" a="1"/>
  <c r="AZ40" i="19" s="1"/>
  <c r="BA40" i="19" a="1"/>
  <c r="BA40" i="19" s="1"/>
  <c r="BB40" i="19" a="1"/>
  <c r="BB40" i="19" s="1"/>
  <c r="T38" i="21"/>
  <c r="T14" i="21"/>
  <c r="E36" i="23"/>
  <c r="D36" i="23" s="1"/>
  <c r="E35" i="23"/>
  <c r="E30" i="23"/>
  <c r="D30" i="23" s="1"/>
  <c r="E29" i="23"/>
  <c r="D29" i="23"/>
  <c r="E24" i="23"/>
  <c r="D24" i="23" s="1"/>
  <c r="E23" i="23"/>
  <c r="BC15" i="23" a="1"/>
  <c r="BC15" i="23" s="1"/>
  <c r="BB15" i="23"/>
  <c r="BB15" i="23" a="1"/>
  <c r="BA15" i="23" a="1"/>
  <c r="BA15" i="23" s="1"/>
  <c r="AZ15" i="23" a="1"/>
  <c r="AZ15" i="23" s="1"/>
  <c r="AY15" i="23" a="1"/>
  <c r="AY15" i="23" s="1"/>
  <c r="AX15" i="23" a="1"/>
  <c r="AX15" i="23" s="1"/>
  <c r="AW15" i="23" a="1"/>
  <c r="AW15" i="23" s="1"/>
  <c r="AV15" i="23"/>
  <c r="AV15" i="23" a="1"/>
  <c r="AU15" i="23" a="1"/>
  <c r="AU15" i="23" s="1"/>
  <c r="AT15" i="23"/>
  <c r="AT15" i="23" a="1"/>
  <c r="AS15" i="23" a="1"/>
  <c r="AS15" i="23" s="1"/>
  <c r="AR15" i="23"/>
  <c r="AR15" i="23" a="1"/>
  <c r="AQ15" i="23" a="1"/>
  <c r="AQ15" i="23" s="1"/>
  <c r="AP15" i="23"/>
  <c r="AP15" i="23" a="1"/>
  <c r="AO15" i="23" a="1"/>
  <c r="AO15" i="23" s="1"/>
  <c r="AN15" i="23"/>
  <c r="AN15" i="23" a="1"/>
  <c r="AM15" i="23" a="1"/>
  <c r="AM15" i="23" s="1"/>
  <c r="AL15" i="23"/>
  <c r="AL15" i="23" a="1"/>
  <c r="AK15" i="23" a="1"/>
  <c r="AK15" i="23" s="1"/>
  <c r="AJ15" i="23"/>
  <c r="AJ15" i="23" a="1"/>
  <c r="AI15" i="23" a="1"/>
  <c r="AI15" i="23" s="1"/>
  <c r="AH15" i="23"/>
  <c r="AH15" i="23" a="1"/>
  <c r="AG15" i="23" a="1"/>
  <c r="AG15" i="23" s="1"/>
  <c r="AF15" i="23"/>
  <c r="AF15" i="23" a="1"/>
  <c r="AE15" i="23" a="1"/>
  <c r="AE15" i="23" s="1"/>
  <c r="AD15" i="23"/>
  <c r="AD15" i="23" a="1"/>
  <c r="AC15" i="23" a="1"/>
  <c r="AC15" i="23" s="1"/>
  <c r="AB15" i="23"/>
  <c r="AB15" i="23" a="1"/>
  <c r="AA15" i="23" a="1"/>
  <c r="AA15" i="23" s="1"/>
  <c r="Z15" i="23"/>
  <c r="Z15" i="23" a="1"/>
  <c r="Y15" i="23" a="1"/>
  <c r="Y15" i="23" s="1"/>
  <c r="X15" i="23"/>
  <c r="X15" i="23" a="1"/>
  <c r="W15" i="23" a="1"/>
  <c r="W15" i="23" s="1"/>
  <c r="V15" i="23"/>
  <c r="V15" i="23" a="1"/>
  <c r="U15" i="23" a="1"/>
  <c r="U15" i="23" s="1"/>
  <c r="T15" i="23"/>
  <c r="T15" i="23" a="1"/>
  <c r="S15" i="23" a="1"/>
  <c r="S15" i="23" s="1"/>
  <c r="R15" i="23"/>
  <c r="R15" i="23" a="1"/>
  <c r="Q15" i="23" a="1"/>
  <c r="Q15" i="23" s="1"/>
  <c r="P15" i="23"/>
  <c r="P15" i="23" a="1"/>
  <c r="O15" i="23" a="1"/>
  <c r="O15" i="23" s="1"/>
  <c r="N15" i="23"/>
  <c r="N15" i="23" a="1"/>
  <c r="M15" i="23" a="1"/>
  <c r="M15" i="23" s="1"/>
  <c r="L15" i="23"/>
  <c r="L15" i="23" a="1"/>
  <c r="K15" i="23" a="1"/>
  <c r="K15" i="23" s="1"/>
  <c r="J15" i="23"/>
  <c r="J15" i="23" a="1"/>
  <c r="I15" i="23" a="1"/>
  <c r="I15" i="23" s="1"/>
  <c r="H15" i="23"/>
  <c r="H15" i="23" a="1"/>
  <c r="G15" i="23" a="1"/>
  <c r="G15" i="23" s="1"/>
  <c r="F15" i="23"/>
  <c r="F15" i="23" a="1"/>
  <c r="E15" i="23" a="1"/>
  <c r="E15" i="23" s="1"/>
  <c r="D15" i="23"/>
  <c r="D15" i="23" a="1"/>
  <c r="AF13" i="23"/>
  <c r="Z13" i="23"/>
  <c r="W13" i="23"/>
  <c r="T13" i="23"/>
  <c r="S13" i="23"/>
  <c r="Q13" i="23"/>
  <c r="N13" i="23"/>
  <c r="K13" i="23"/>
  <c r="H13" i="23"/>
  <c r="AF12" i="23"/>
  <c r="Z12" i="23"/>
  <c r="S12" i="23"/>
  <c r="Q12" i="23"/>
  <c r="AE10" i="23"/>
  <c r="AB10" i="23"/>
  <c r="Y10" i="23"/>
  <c r="V10" i="23"/>
  <c r="S10" i="23"/>
  <c r="R10" i="23"/>
  <c r="P10" i="23"/>
  <c r="M10" i="23"/>
  <c r="J10" i="23"/>
  <c r="G10" i="23"/>
  <c r="D10" i="23"/>
  <c r="AG9" i="23"/>
  <c r="AE9" i="23"/>
  <c r="AB9" i="23"/>
  <c r="V9" i="23"/>
  <c r="AF7" i="23"/>
  <c r="AD7" i="23"/>
  <c r="X7" i="23"/>
  <c r="R7" i="23"/>
  <c r="L7" i="23"/>
  <c r="I7" i="23"/>
  <c r="F7" i="23"/>
  <c r="C7" i="23"/>
  <c r="X6" i="23"/>
  <c r="U6" i="23"/>
  <c r="R6" i="23"/>
  <c r="L6" i="23"/>
  <c r="I6" i="23"/>
  <c r="AC4" i="23"/>
  <c r="Z4" i="23"/>
  <c r="W4" i="23"/>
  <c r="E4" i="23"/>
  <c r="B4" i="23"/>
  <c r="Z3" i="23"/>
  <c r="W3" i="23"/>
  <c r="B3" i="23"/>
  <c r="D1" i="21"/>
  <c r="D57" i="21"/>
  <c r="E57" i="21" s="1"/>
  <c r="T57" i="21" s="1"/>
  <c r="D56" i="21"/>
  <c r="E56" i="21" s="1"/>
  <c r="T56" i="21" s="1"/>
  <c r="D55" i="21"/>
  <c r="E55" i="21" s="1"/>
  <c r="T55" i="21" s="1"/>
  <c r="D54" i="21"/>
  <c r="E54" i="21" s="1"/>
  <c r="T54" i="21" s="1"/>
  <c r="D53" i="21"/>
  <c r="E53" i="21" s="1"/>
  <c r="T53" i="21" s="1"/>
  <c r="D52" i="21"/>
  <c r="E52" i="21" s="1"/>
  <c r="T52" i="21" s="1"/>
  <c r="D51" i="21"/>
  <c r="E51" i="21" s="1"/>
  <c r="T51" i="21" s="1"/>
  <c r="D50" i="21"/>
  <c r="E50" i="21" s="1"/>
  <c r="T50" i="21" s="1"/>
  <c r="D49" i="21"/>
  <c r="E49" i="21" s="1"/>
  <c r="T49" i="21" s="1"/>
  <c r="D48" i="21"/>
  <c r="E48" i="21" s="1"/>
  <c r="T48" i="21" s="1"/>
  <c r="D47" i="21"/>
  <c r="E47" i="21" s="1"/>
  <c r="T47" i="21" s="1"/>
  <c r="D46" i="21"/>
  <c r="E46" i="21" s="1"/>
  <c r="T46" i="21" s="1"/>
  <c r="D45" i="21"/>
  <c r="E45" i="21" s="1"/>
  <c r="T45" i="21" s="1"/>
  <c r="D44" i="21"/>
  <c r="E44" i="21" s="1"/>
  <c r="T44" i="21" s="1"/>
  <c r="D43" i="21"/>
  <c r="E43" i="21" s="1"/>
  <c r="T43" i="21" s="1"/>
  <c r="D42" i="21"/>
  <c r="E42" i="21" s="1"/>
  <c r="T42" i="21" s="1"/>
  <c r="D41" i="21"/>
  <c r="E41" i="21" s="1"/>
  <c r="T41" i="21" s="1"/>
  <c r="D40" i="21"/>
  <c r="E40" i="21" s="1"/>
  <c r="T40" i="21" s="1"/>
  <c r="D39" i="21"/>
  <c r="E39" i="21" s="1"/>
  <c r="T39" i="21" s="1"/>
  <c r="D38" i="21"/>
  <c r="E38" i="21" s="1"/>
  <c r="D37" i="21"/>
  <c r="E37" i="21" s="1"/>
  <c r="T37" i="21" s="1"/>
  <c r="D36" i="21"/>
  <c r="E36" i="21" s="1"/>
  <c r="T36" i="21" s="1"/>
  <c r="D35" i="21"/>
  <c r="E35" i="21" s="1"/>
  <c r="T35" i="21" s="1"/>
  <c r="D34" i="21"/>
  <c r="E34" i="21" s="1"/>
  <c r="T34" i="21" s="1"/>
  <c r="D33" i="21"/>
  <c r="E33" i="21" s="1"/>
  <c r="T33" i="21" s="1"/>
  <c r="D32" i="21"/>
  <c r="E32" i="21" s="1"/>
  <c r="T32" i="21" s="1"/>
  <c r="D31" i="21"/>
  <c r="E31" i="21" s="1"/>
  <c r="T31" i="21" s="1"/>
  <c r="D30" i="21"/>
  <c r="E30" i="21" s="1"/>
  <c r="T30" i="21" s="1"/>
  <c r="D29" i="21"/>
  <c r="E29" i="21" s="1"/>
  <c r="T29" i="21" s="1"/>
  <c r="D28" i="21"/>
  <c r="E28" i="21" s="1"/>
  <c r="T28" i="21" s="1"/>
  <c r="D27" i="21"/>
  <c r="E27" i="21" s="1"/>
  <c r="T27" i="21" s="1"/>
  <c r="D26" i="21"/>
  <c r="E26" i="21" s="1"/>
  <c r="T26" i="21" s="1"/>
  <c r="D25" i="21"/>
  <c r="E25" i="21" s="1"/>
  <c r="T25" i="21" s="1"/>
  <c r="D24" i="21"/>
  <c r="E24" i="21" s="1"/>
  <c r="T24" i="21" s="1"/>
  <c r="D23" i="21"/>
  <c r="E23" i="21" s="1"/>
  <c r="T23" i="21" s="1"/>
  <c r="D22" i="21"/>
  <c r="E22" i="21" s="1"/>
  <c r="T22" i="21" s="1"/>
  <c r="D21" i="21"/>
  <c r="E21" i="21" s="1"/>
  <c r="T21" i="21" s="1"/>
  <c r="D20" i="21"/>
  <c r="E20" i="21" s="1"/>
  <c r="T20" i="21" s="1"/>
  <c r="D19" i="21"/>
  <c r="E19" i="21" s="1"/>
  <c r="T19" i="21" s="1"/>
  <c r="D18" i="21"/>
  <c r="E18" i="21" s="1"/>
  <c r="T18" i="21" s="1"/>
  <c r="D17" i="21"/>
  <c r="E17" i="21" s="1"/>
  <c r="T17" i="21" s="1"/>
  <c r="D16" i="21"/>
  <c r="E16" i="21" s="1"/>
  <c r="T16" i="21" s="1"/>
  <c r="D15" i="21"/>
  <c r="E15" i="21" s="1"/>
  <c r="T15" i="21" s="1"/>
  <c r="D14" i="21"/>
  <c r="E14" i="21" s="1"/>
  <c r="D13" i="21"/>
  <c r="E13" i="21" s="1"/>
  <c r="T13" i="21" s="1"/>
  <c r="D12" i="21"/>
  <c r="E12" i="21" s="1"/>
  <c r="T12" i="21" s="1"/>
  <c r="D11" i="21"/>
  <c r="E11" i="21" s="1"/>
  <c r="T11" i="21" s="1"/>
  <c r="D10" i="21"/>
  <c r="E10" i="21" s="1"/>
  <c r="T10" i="21" s="1"/>
  <c r="D9" i="21"/>
  <c r="E9" i="21" s="1"/>
  <c r="T9" i="21" s="1"/>
  <c r="D8" i="21"/>
  <c r="E8" i="21" s="1"/>
  <c r="T8" i="21" s="1"/>
  <c r="D7" i="21"/>
  <c r="E7" i="21" s="1"/>
  <c r="T7" i="21" s="1"/>
  <c r="D6" i="21"/>
  <c r="E6" i="21" s="1"/>
  <c r="T6" i="21" s="1"/>
  <c r="D5" i="21"/>
  <c r="E5" i="21" s="1"/>
  <c r="T5" i="21" s="1"/>
  <c r="D4" i="21"/>
  <c r="E4" i="21" s="1"/>
  <c r="T4" i="21" s="1"/>
  <c r="D3" i="21"/>
  <c r="E3" i="21" s="1"/>
  <c r="T3" i="21" s="1"/>
  <c r="BL54" i="23" a="1"/>
  <c r="BL38" i="23" a="1"/>
  <c r="BL19" i="23" a="1"/>
  <c r="BM39" i="23" a="1"/>
  <c r="BL24" i="23" a="1"/>
  <c r="BM50" i="23" a="1"/>
  <c r="BL33" i="23" a="1"/>
  <c r="BL50" i="23" a="1"/>
  <c r="BM33" i="23" a="1"/>
  <c r="BM51" i="23" a="1"/>
  <c r="BM36" i="23" a="1"/>
  <c r="BL22" i="23" a="1"/>
  <c r="BM46" i="23" a="1"/>
  <c r="BL30" i="23" a="1"/>
  <c r="BL17" i="23" a="1"/>
  <c r="BM49" i="23" a="1"/>
  <c r="BK19" i="23" a="1"/>
  <c r="BM37" i="23" a="1"/>
  <c r="BJ26" i="23" a="1"/>
  <c r="BJ3" i="23" a="1"/>
  <c r="BB42" i="19" a="1"/>
  <c r="BM21" i="23" a="1"/>
  <c r="BM25" i="23" a="1"/>
  <c r="BL35" i="23" a="1"/>
  <c r="BM10" i="23" a="1"/>
  <c r="BM8" i="23" a="1"/>
  <c r="BL16" i="23" a="1"/>
  <c r="BA43" i="19" a="1"/>
  <c r="BK21" i="23" a="1"/>
  <c r="BJ29" i="23" a="1"/>
  <c r="BJ40" i="23" a="1"/>
  <c r="BK13" i="23" a="1"/>
  <c r="BJ14" i="23" a="1"/>
  <c r="BL51" i="23" a="1"/>
  <c r="BA42" i="19" a="1"/>
  <c r="BJ46" i="23" a="1"/>
  <c r="BK30" i="23" a="1"/>
  <c r="BK47" i="23" a="1"/>
  <c r="BK32" i="23" a="1"/>
  <c r="BJ18" i="23" a="1"/>
  <c r="BK42" i="23" a="1"/>
  <c r="BM45" i="23" a="1"/>
  <c r="BJ12" i="23" a="1"/>
  <c r="BK11" i="23" a="1"/>
  <c r="BJ11" i="23" a="1"/>
  <c r="BK17" i="23" a="1"/>
  <c r="BL8" i="23" a="1"/>
  <c r="BJ8" i="23" a="1"/>
  <c r="BL31" i="23" a="1"/>
  <c r="BL29" i="23" a="1"/>
  <c r="BL40" i="23" a="1"/>
  <c r="BL7" i="23" a="1"/>
  <c r="BM5" i="23" a="1"/>
  <c r="BM7" i="23" a="1"/>
  <c r="BK44" i="23" a="1"/>
  <c r="BJ45" i="23" a="1"/>
  <c r="BJ52" i="23" a="1"/>
  <c r="BK24" i="23" a="1"/>
  <c r="BJ21" i="23" a="1"/>
  <c r="BK14" i="23" a="1"/>
  <c r="AZ43" i="19" a="1"/>
  <c r="BL42" i="23" a="1"/>
  <c r="BM43" i="23" a="1"/>
  <c r="BL27" i="23" a="1"/>
  <c r="BM38" i="23" a="1"/>
  <c r="BM9" i="23" a="1"/>
  <c r="BL6" i="23" a="1"/>
  <c r="BL25" i="23" a="1"/>
  <c r="BM35" i="23" a="1"/>
  <c r="BL52" i="23" a="1"/>
  <c r="BL15" i="23" a="1"/>
  <c r="BK40" i="23" a="1"/>
  <c r="BK16" i="23" a="1"/>
  <c r="BL21" i="23" a="1"/>
  <c r="BM4" i="23" a="1"/>
  <c r="BJ54" i="23" a="1"/>
  <c r="BJ38" i="23" a="1"/>
  <c r="BJ19" i="23" a="1"/>
  <c r="BK39" i="23" a="1"/>
  <c r="BJ24" i="23" a="1"/>
  <c r="BK50" i="23" a="1"/>
  <c r="BJ33" i="23" a="1"/>
  <c r="BK22" i="23" a="1"/>
  <c r="BJ4" i="23" a="1"/>
  <c r="BK28" i="23" a="1"/>
  <c r="BJ43" i="23" a="1"/>
  <c r="BK4" i="23" a="1"/>
  <c r="BJ9" i="23" a="1"/>
  <c r="BM44" i="23" a="1"/>
  <c r="BL45" i="23" a="1"/>
  <c r="BM16" i="23" a="1"/>
  <c r="BJ25" i="23" a="1"/>
  <c r="BM41" i="23" a="1"/>
  <c r="BL10" i="23" a="1"/>
  <c r="BB43" i="19" a="1"/>
  <c r="BJ28" i="23" a="1"/>
  <c r="BJ35" i="23" a="1"/>
  <c r="BK3" i="23" a="1"/>
  <c r="BL39" i="23" a="1"/>
  <c r="BM34" i="23" a="1"/>
  <c r="BL4" i="23" a="1"/>
  <c r="BM53" i="23" a="1"/>
  <c r="BJ10" i="23" a="1"/>
  <c r="BL28" i="23" a="1"/>
  <c r="BL44" i="23" a="1"/>
  <c r="BL26" i="23" a="1"/>
  <c r="BM6" i="23" a="1"/>
  <c r="BJ37" i="23" a="1"/>
  <c r="BM18" i="23" a="1"/>
  <c r="BL9" i="23" a="1"/>
  <c r="BJ50" i="23" a="1"/>
  <c r="BK51" i="23" a="1"/>
  <c r="BJ22" i="23" a="1"/>
  <c r="BJ30" i="23" a="1"/>
  <c r="BK37" i="23" a="1"/>
  <c r="BJ36" i="23" a="1"/>
  <c r="BK53" i="23" a="1"/>
  <c r="BL37" i="23" a="1"/>
  <c r="BM13" i="23" a="1"/>
  <c r="BJ5" i="23" a="1"/>
  <c r="BJ53" i="23" a="1"/>
  <c r="BK49" i="23" a="1"/>
  <c r="BJ13" i="23" a="1"/>
  <c r="BB41" i="19" a="1"/>
  <c r="BL46" i="23" a="1"/>
  <c r="BM30" i="23" a="1"/>
  <c r="BM47" i="23" a="1"/>
  <c r="BM32" i="23" a="1"/>
  <c r="BL18" i="23" a="1"/>
  <c r="BM42" i="23" a="1"/>
  <c r="BL47" i="23" a="1"/>
  <c r="BL12" i="23" a="1"/>
  <c r="BM17" i="23" a="1"/>
  <c r="BL11" i="23" a="1"/>
  <c r="BJ20" i="23" a="1"/>
  <c r="BM11" i="23" a="1"/>
  <c r="BM28" i="23" a="1"/>
  <c r="BM48" i="23" a="1"/>
  <c r="BL49" i="23" a="1"/>
  <c r="BM20" i="23" a="1"/>
  <c r="BM31" i="23" a="1"/>
  <c r="BM3" i="23" a="1"/>
  <c r="BK41" i="23" a="1"/>
  <c r="BJ16" i="23" a="1"/>
  <c r="BK48" i="23" a="1"/>
  <c r="BJ49" i="23" a="1"/>
  <c r="BJ23" i="23" a="1"/>
  <c r="BK31" i="23" a="1"/>
  <c r="BJ7" i="23" a="1"/>
  <c r="BK5" i="23" a="1"/>
  <c r="BK27" i="23" a="1"/>
  <c r="AZ42" i="19" a="1"/>
  <c r="BJ42" i="23" a="1"/>
  <c r="BK26" i="23" a="1"/>
  <c r="BK43" i="23" a="1"/>
  <c r="BJ27" i="23" a="1"/>
  <c r="BK54" i="23" a="1"/>
  <c r="BK38" i="23" a="1"/>
  <c r="BM27" i="23" a="1"/>
  <c r="BK9" i="23" a="1"/>
  <c r="BL43" i="23" a="1"/>
  <c r="BJ6" i="23" a="1"/>
  <c r="BK12" i="23" a="1"/>
  <c r="BM24" i="23" a="1"/>
  <c r="BM52" i="23" a="1"/>
  <c r="BL53" i="23" a="1"/>
  <c r="BL23" i="23" a="1"/>
  <c r="BJ51" i="23" a="1"/>
  <c r="BM29" i="23" a="1"/>
  <c r="BK23" i="23" a="1"/>
  <c r="BJ17" i="23" a="1"/>
  <c r="BK35" i="23" a="1"/>
  <c r="BJ34" i="23" a="1"/>
  <c r="BJ44" i="23" a="1"/>
  <c r="BK10" i="23" a="1"/>
  <c r="BK8" i="23" a="1"/>
  <c r="BL13" i="23" a="1"/>
  <c r="AZ41" i="19" a="1"/>
  <c r="BA41" i="19" a="1"/>
  <c r="BM26" i="23" a="1"/>
  <c r="BM54" i="23" a="1"/>
  <c r="BK29" i="23" a="1"/>
  <c r="BK45" i="23" a="1"/>
  <c r="BM12" i="23" a="1"/>
  <c r="BM14" i="23" a="1"/>
  <c r="BL41" i="23" a="1"/>
  <c r="BK34" i="23" a="1"/>
  <c r="BK6" i="23" a="1"/>
  <c r="BJ39" i="23" a="1"/>
  <c r="BJ41" i="23" a="1"/>
  <c r="BL32" i="23" a="1"/>
  <c r="BM22" i="23" a="1"/>
  <c r="BK25" i="23" a="1"/>
  <c r="BM23" i="23" a="1"/>
  <c r="BJ32" i="23" a="1"/>
  <c r="BK7" i="23" a="1"/>
  <c r="BK18" i="23" a="1"/>
  <c r="BL34" i="23" a="1"/>
  <c r="BL20" i="23" a="1"/>
  <c r="BL3" i="23" a="1"/>
  <c r="BJ31" i="23" a="1"/>
  <c r="BJ48" i="23" a="1"/>
  <c r="BL36" i="23" a="1"/>
  <c r="BK15" i="23" a="1"/>
  <c r="BK33" i="23" a="1"/>
  <c r="BK36" i="23" a="1"/>
  <c r="BK46" i="23" a="1"/>
  <c r="BM15" i="23" a="1"/>
  <c r="BJ15" i="23" a="1"/>
  <c r="BM19" i="23" a="1"/>
  <c r="BM40" i="23" a="1"/>
  <c r="BL48" i="23" a="1"/>
  <c r="BL14" i="23" a="1"/>
  <c r="BK52" i="23" a="1"/>
  <c r="BK20" i="23" a="1"/>
  <c r="BJ47" i="23" a="1"/>
  <c r="BL5" i="23" a="1"/>
  <c r="BA43" i="19" l="1"/>
  <c r="BB42" i="19"/>
  <c r="AZ42" i="19"/>
  <c r="BA41" i="19"/>
  <c r="AX16" i="19" s="1"/>
  <c r="BB43" i="19"/>
  <c r="AZ43" i="19"/>
  <c r="BG18" i="19" s="1"/>
  <c r="BA42" i="19"/>
  <c r="BB41" i="19"/>
  <c r="AY16" i="19" s="1"/>
  <c r="AZ41" i="19"/>
  <c r="BG16" i="19" s="1"/>
  <c r="BL5" i="23"/>
  <c r="BM6" i="23"/>
  <c r="BJ8" i="23"/>
  <c r="BM14" i="23"/>
  <c r="BK15" i="23"/>
  <c r="BJ17" i="23"/>
  <c r="BK18" i="23"/>
  <c r="BM28" i="23"/>
  <c r="BM34" i="23"/>
  <c r="BJ39" i="23"/>
  <c r="BK53" i="23"/>
  <c r="BJ3" i="23"/>
  <c r="BM4" i="23"/>
  <c r="BM7" i="23"/>
  <c r="BJ9" i="23"/>
  <c r="BJ10" i="23"/>
  <c r="BL13" i="23"/>
  <c r="BJ16" i="23"/>
  <c r="BM24" i="23"/>
  <c r="BL25" i="23"/>
  <c r="BK27" i="23"/>
  <c r="BJ5" i="23"/>
  <c r="BL8" i="23"/>
  <c r="BM11" i="23"/>
  <c r="BK14" i="23"/>
  <c r="BL16" i="23"/>
  <c r="BM19" i="23"/>
  <c r="BJ26" i="23"/>
  <c r="BL51" i="23"/>
  <c r="BL3" i="23"/>
  <c r="BK4" i="23"/>
  <c r="BK7" i="23"/>
  <c r="BL9" i="23"/>
  <c r="BL10" i="23"/>
  <c r="BK12" i="23"/>
  <c r="BM12" i="23"/>
  <c r="BJ13" i="23"/>
  <c r="BL15" i="23"/>
  <c r="BK17" i="23"/>
  <c r="BJ20" i="23"/>
  <c r="BM22" i="23"/>
  <c r="BK23" i="23"/>
  <c r="BJ36" i="23"/>
  <c r="BM37" i="23"/>
  <c r="BL39" i="23"/>
  <c r="BK41" i="23"/>
  <c r="BJ43" i="23"/>
  <c r="BM53" i="23"/>
  <c r="BK5" i="23"/>
  <c r="BM5" i="23"/>
  <c r="BP5" i="23" s="1"/>
  <c r="BJ6" i="23"/>
  <c r="BL6" i="23"/>
  <c r="BK8" i="23"/>
  <c r="BM8" i="23"/>
  <c r="BJ11" i="23"/>
  <c r="BL11" i="23"/>
  <c r="BJ14" i="23"/>
  <c r="BL14" i="23"/>
  <c r="BJ15" i="23"/>
  <c r="BK19" i="23"/>
  <c r="BJ21" i="23"/>
  <c r="BL26" i="23"/>
  <c r="BK28" i="23"/>
  <c r="BJ32" i="23"/>
  <c r="BL36" i="23"/>
  <c r="BM41" i="23"/>
  <c r="BL43" i="23"/>
  <c r="BK45" i="23"/>
  <c r="BJ47" i="23"/>
  <c r="BK6" i="23"/>
  <c r="BK11" i="23"/>
  <c r="BM17" i="23"/>
  <c r="BL21" i="23"/>
  <c r="BM29" i="23"/>
  <c r="BK37" i="23"/>
  <c r="BM49" i="23"/>
  <c r="BK3" i="23"/>
  <c r="BM3" i="23"/>
  <c r="BJ4" i="23"/>
  <c r="BL4" i="23"/>
  <c r="BJ7" i="23"/>
  <c r="BL7" i="23"/>
  <c r="BK9" i="23"/>
  <c r="BM9" i="23"/>
  <c r="BK10" i="23"/>
  <c r="BM10" i="23"/>
  <c r="BJ12" i="23"/>
  <c r="BL12" i="23"/>
  <c r="BK13" i="23"/>
  <c r="BM13" i="23"/>
  <c r="BM15" i="23"/>
  <c r="BL17" i="23"/>
  <c r="BM18" i="23"/>
  <c r="BL20" i="23"/>
  <c r="BK22" i="23"/>
  <c r="BM23" i="23"/>
  <c r="BK24" i="23"/>
  <c r="BJ25" i="23"/>
  <c r="BM27" i="23"/>
  <c r="BK29" i="23"/>
  <c r="BL32" i="23"/>
  <c r="BK34" i="23"/>
  <c r="BM45" i="23"/>
  <c r="BL47" i="23"/>
  <c r="BK49" i="23"/>
  <c r="BJ51" i="23"/>
  <c r="BJ30" i="23"/>
  <c r="BL30" i="23"/>
  <c r="BK31" i="23"/>
  <c r="BM31" i="23"/>
  <c r="BJ33" i="23"/>
  <c r="BL33" i="23"/>
  <c r="BJ35" i="23"/>
  <c r="BL35" i="23"/>
  <c r="BK38" i="23"/>
  <c r="BM38" i="23"/>
  <c r="BJ40" i="23"/>
  <c r="BL40" i="23"/>
  <c r="BK42" i="23"/>
  <c r="BM42" i="23"/>
  <c r="BJ44" i="23"/>
  <c r="BL44" i="23"/>
  <c r="BK46" i="23"/>
  <c r="BM46" i="23"/>
  <c r="BJ48" i="23"/>
  <c r="BL48" i="23"/>
  <c r="BK50" i="23"/>
  <c r="BM50" i="23"/>
  <c r="BJ52" i="23"/>
  <c r="BL52" i="23"/>
  <c r="BK54" i="23"/>
  <c r="BM54" i="23"/>
  <c r="BK16" i="23"/>
  <c r="BM16" i="23"/>
  <c r="BP16" i="23" s="1"/>
  <c r="BJ18" i="23"/>
  <c r="BL18" i="23"/>
  <c r="BK20" i="23"/>
  <c r="BM20" i="23"/>
  <c r="BJ22" i="23"/>
  <c r="BL22" i="23"/>
  <c r="BJ23" i="23"/>
  <c r="BL23" i="23"/>
  <c r="BJ24" i="23"/>
  <c r="BL24" i="23"/>
  <c r="BK25" i="23"/>
  <c r="BM25" i="23"/>
  <c r="BP25" i="23" s="1"/>
  <c r="BJ27" i="23"/>
  <c r="BL27" i="23"/>
  <c r="BJ29" i="23"/>
  <c r="BL29" i="23"/>
  <c r="BK32" i="23"/>
  <c r="BM32" i="23"/>
  <c r="BP32" i="23" s="1"/>
  <c r="BJ34" i="23"/>
  <c r="BL34" i="23"/>
  <c r="BK36" i="23"/>
  <c r="BM36" i="23"/>
  <c r="BJ37" i="23"/>
  <c r="BL37" i="23"/>
  <c r="BK39" i="23"/>
  <c r="BM39" i="23"/>
  <c r="BJ41" i="23"/>
  <c r="BL41" i="23"/>
  <c r="BK43" i="23"/>
  <c r="BM43" i="23"/>
  <c r="BJ45" i="23"/>
  <c r="BL45" i="23"/>
  <c r="BK47" i="23"/>
  <c r="BM47" i="23"/>
  <c r="BJ49" i="23"/>
  <c r="BL49" i="23"/>
  <c r="BK51" i="23"/>
  <c r="BM51" i="23"/>
  <c r="BJ53" i="23"/>
  <c r="BL53" i="23"/>
  <c r="BJ19" i="23"/>
  <c r="BL19" i="23"/>
  <c r="BK21" i="23"/>
  <c r="BM21" i="23"/>
  <c r="BK26" i="23"/>
  <c r="BM26" i="23"/>
  <c r="BP26" i="23" s="1"/>
  <c r="BJ28" i="23"/>
  <c r="BL28" i="23"/>
  <c r="BK30" i="23"/>
  <c r="BM30" i="23"/>
  <c r="BJ31" i="23"/>
  <c r="BL31" i="23"/>
  <c r="BK33" i="23"/>
  <c r="BM33" i="23"/>
  <c r="BK35" i="23"/>
  <c r="BM35" i="23"/>
  <c r="BJ38" i="23"/>
  <c r="BL38" i="23"/>
  <c r="BK40" i="23"/>
  <c r="BM40" i="23"/>
  <c r="BJ42" i="23"/>
  <c r="BL42" i="23"/>
  <c r="BK44" i="23"/>
  <c r="BM44" i="23"/>
  <c r="BJ46" i="23"/>
  <c r="BL46" i="23"/>
  <c r="BK48" i="23"/>
  <c r="BM48" i="23"/>
  <c r="BJ50" i="23"/>
  <c r="BL50" i="23"/>
  <c r="BK52" i="23"/>
  <c r="BM52" i="23"/>
  <c r="BJ54" i="23"/>
  <c r="BL54" i="23"/>
  <c r="D35" i="23"/>
  <c r="B37" i="23"/>
  <c r="AK24" i="23"/>
  <c r="AL23" i="23" s="1"/>
  <c r="B31" i="23"/>
  <c r="B25" i="23"/>
  <c r="D23" i="23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G3" i="21"/>
  <c r="K3" i="21"/>
  <c r="O4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23" i="2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3" i="21"/>
  <c r="V73" i="21"/>
  <c r="AB50" i="21"/>
  <c r="A27" i="21"/>
  <c r="F59" i="20"/>
  <c r="X4" i="20"/>
  <c r="X5" i="20"/>
  <c r="X6" i="20"/>
  <c r="X7" i="20"/>
  <c r="X8" i="20"/>
  <c r="X9" i="20"/>
  <c r="X10" i="20"/>
  <c r="X11" i="20"/>
  <c r="X12" i="20"/>
  <c r="X13" i="20"/>
  <c r="X14" i="20"/>
  <c r="X15" i="20"/>
  <c r="X16" i="20"/>
  <c r="X17" i="20"/>
  <c r="X18" i="20"/>
  <c r="X19" i="20"/>
  <c r="X20" i="20"/>
  <c r="X21" i="20"/>
  <c r="X22" i="20"/>
  <c r="X23" i="20"/>
  <c r="X24" i="20"/>
  <c r="X25" i="20"/>
  <c r="X26" i="20"/>
  <c r="X27" i="20"/>
  <c r="X28" i="20"/>
  <c r="X29" i="20"/>
  <c r="X30" i="20"/>
  <c r="X31" i="20"/>
  <c r="X32" i="20"/>
  <c r="X33" i="20"/>
  <c r="X34" i="20"/>
  <c r="X35" i="20"/>
  <c r="X36" i="20"/>
  <c r="X37" i="20"/>
  <c r="X38" i="20"/>
  <c r="X39" i="20"/>
  <c r="X40" i="20"/>
  <c r="X41" i="20"/>
  <c r="X42" i="20"/>
  <c r="X43" i="20"/>
  <c r="X44" i="20"/>
  <c r="X45" i="20"/>
  <c r="X46" i="20"/>
  <c r="X47" i="20"/>
  <c r="X3" i="20"/>
  <c r="U6" i="20"/>
  <c r="V6" i="20" s="1" a="1"/>
  <c r="V6" i="20" s="1"/>
  <c r="U18" i="20"/>
  <c r="U22" i="20"/>
  <c r="U26" i="20"/>
  <c r="U30" i="20"/>
  <c r="V30" i="20" s="1" a="1"/>
  <c r="V30" i="20" s="1"/>
  <c r="U34" i="20"/>
  <c r="U38" i="20"/>
  <c r="U42" i="20"/>
  <c r="V42" i="20" s="1" a="1"/>
  <c r="V42" i="20" s="1"/>
  <c r="U54" i="20"/>
  <c r="S73" i="20"/>
  <c r="S57" i="20"/>
  <c r="R57" i="20"/>
  <c r="U57" i="20" s="1"/>
  <c r="S56" i="20"/>
  <c r="R56" i="20"/>
  <c r="S55" i="20"/>
  <c r="R55" i="20"/>
  <c r="U55" i="20" s="1"/>
  <c r="S54" i="20"/>
  <c r="R54" i="20"/>
  <c r="S53" i="20"/>
  <c r="R53" i="20"/>
  <c r="U53" i="20" s="1"/>
  <c r="S52" i="20"/>
  <c r="R52" i="20"/>
  <c r="S51" i="20"/>
  <c r="R51" i="20"/>
  <c r="U51" i="20" s="1"/>
  <c r="Z50" i="20"/>
  <c r="S50" i="20"/>
  <c r="R50" i="20"/>
  <c r="U50" i="20" s="1"/>
  <c r="S49" i="20"/>
  <c r="R49" i="20"/>
  <c r="U49" i="20" s="1"/>
  <c r="S48" i="20"/>
  <c r="R48" i="20"/>
  <c r="S47" i="20"/>
  <c r="R47" i="20"/>
  <c r="U47" i="20" s="1"/>
  <c r="S46" i="20"/>
  <c r="R46" i="20"/>
  <c r="U46" i="20" s="1"/>
  <c r="S45" i="20"/>
  <c r="R45" i="20"/>
  <c r="U45" i="20" s="1"/>
  <c r="Z44" i="20"/>
  <c r="S44" i="20"/>
  <c r="R44" i="20"/>
  <c r="U44" i="20" s="1"/>
  <c r="V44" i="20" s="1" a="1"/>
  <c r="V44" i="20" s="1"/>
  <c r="S43" i="20"/>
  <c r="R43" i="20"/>
  <c r="Z43" i="20" s="1"/>
  <c r="S42" i="20"/>
  <c r="R42" i="20"/>
  <c r="Z42" i="20" s="1"/>
  <c r="S41" i="20"/>
  <c r="R41" i="20"/>
  <c r="Z41" i="20" s="1"/>
  <c r="S40" i="20"/>
  <c r="R40" i="20"/>
  <c r="Z40" i="20" s="1"/>
  <c r="S39" i="20"/>
  <c r="R39" i="20"/>
  <c r="Z39" i="20" s="1"/>
  <c r="S38" i="20"/>
  <c r="R38" i="20"/>
  <c r="Z38" i="20" s="1"/>
  <c r="S37" i="20"/>
  <c r="R37" i="20"/>
  <c r="U37" i="20" s="1"/>
  <c r="S36" i="20"/>
  <c r="R36" i="20"/>
  <c r="U36" i="20" s="1"/>
  <c r="V36" i="20" s="1" a="1"/>
  <c r="V36" i="20" s="1"/>
  <c r="S35" i="20"/>
  <c r="R35" i="20"/>
  <c r="Z35" i="20" s="1"/>
  <c r="S34" i="20"/>
  <c r="R34" i="20"/>
  <c r="Z34" i="20" s="1"/>
  <c r="S33" i="20"/>
  <c r="R33" i="20"/>
  <c r="Z33" i="20" s="1"/>
  <c r="S32" i="20"/>
  <c r="R32" i="20"/>
  <c r="Z32" i="20" s="1"/>
  <c r="S31" i="20"/>
  <c r="R31" i="20"/>
  <c r="Z31" i="20" s="1"/>
  <c r="S30" i="20"/>
  <c r="R30" i="20"/>
  <c r="Z30" i="20" s="1"/>
  <c r="S29" i="20"/>
  <c r="R29" i="20"/>
  <c r="Z29" i="20" s="1"/>
  <c r="S28" i="20"/>
  <c r="R28" i="20"/>
  <c r="U28" i="20" s="1"/>
  <c r="V28" i="20" s="1" a="1"/>
  <c r="V28" i="20" s="1"/>
  <c r="S27" i="20"/>
  <c r="R27" i="20"/>
  <c r="Z27" i="20" s="1"/>
  <c r="S26" i="20"/>
  <c r="R26" i="20"/>
  <c r="Z26" i="20" s="1"/>
  <c r="A26" i="20"/>
  <c r="B26" i="20" s="1"/>
  <c r="S25" i="20"/>
  <c r="R25" i="20"/>
  <c r="Z25" i="20" s="1"/>
  <c r="S24" i="20"/>
  <c r="R24" i="20"/>
  <c r="Z24" i="20" s="1"/>
  <c r="S23" i="20"/>
  <c r="R23" i="20"/>
  <c r="Z23" i="20" s="1"/>
  <c r="S22" i="20"/>
  <c r="R22" i="20"/>
  <c r="Z22" i="20" s="1"/>
  <c r="S21" i="20"/>
  <c r="R21" i="20"/>
  <c r="Z21" i="20" s="1"/>
  <c r="S20" i="20"/>
  <c r="R20" i="20"/>
  <c r="Z20" i="20" s="1"/>
  <c r="S19" i="20"/>
  <c r="R19" i="20"/>
  <c r="Z19" i="20" s="1"/>
  <c r="S18" i="20"/>
  <c r="R18" i="20"/>
  <c r="Z18" i="20" s="1"/>
  <c r="S17" i="20"/>
  <c r="R17" i="20"/>
  <c r="Z17" i="20" s="1"/>
  <c r="S16" i="20"/>
  <c r="R16" i="20"/>
  <c r="Z16" i="20" s="1"/>
  <c r="A16" i="20"/>
  <c r="S15" i="20"/>
  <c r="R15" i="20"/>
  <c r="Z15" i="20" s="1"/>
  <c r="A15" i="20"/>
  <c r="B15" i="20" s="1"/>
  <c r="S14" i="20"/>
  <c r="R14" i="20"/>
  <c r="Z14" i="20" s="1"/>
  <c r="S13" i="20"/>
  <c r="R13" i="20"/>
  <c r="Z13" i="20" s="1"/>
  <c r="S12" i="20"/>
  <c r="R12" i="20"/>
  <c r="Z12" i="20" s="1"/>
  <c r="S11" i="20"/>
  <c r="R11" i="20"/>
  <c r="U11" i="20" s="1"/>
  <c r="S10" i="20"/>
  <c r="R10" i="20"/>
  <c r="Z10" i="20" s="1"/>
  <c r="S9" i="20"/>
  <c r="R9" i="20"/>
  <c r="Z9" i="20" s="1"/>
  <c r="S8" i="20"/>
  <c r="R8" i="20"/>
  <c r="U8" i="20" s="1"/>
  <c r="V8" i="20" s="1" a="1"/>
  <c r="V8" i="20" s="1"/>
  <c r="S7" i="20"/>
  <c r="R7" i="20"/>
  <c r="Z7" i="20" s="1"/>
  <c r="A7" i="20"/>
  <c r="S6" i="20"/>
  <c r="R6" i="20"/>
  <c r="Z6" i="20" s="1"/>
  <c r="A6" i="20"/>
  <c r="B6" i="20" s="1"/>
  <c r="S5" i="20"/>
  <c r="R5" i="20"/>
  <c r="Z5" i="20" s="1"/>
  <c r="S4" i="20"/>
  <c r="R4" i="20"/>
  <c r="Z4" i="20" s="1"/>
  <c r="Z3" i="20"/>
  <c r="S3" i="20"/>
  <c r="R3" i="20"/>
  <c r="U3" i="20" s="1"/>
  <c r="BM50" i="19" a="1"/>
  <c r="BM49" i="19" a="1"/>
  <c r="BM50" i="19" l="1"/>
  <c r="BM49" i="19"/>
  <c r="BA44" i="19" a="1"/>
  <c r="BA44" i="19" s="1"/>
  <c r="AZ44" i="19" a="1"/>
  <c r="AZ44" i="19" s="1"/>
  <c r="BG19" i="19" s="1"/>
  <c r="BG17" i="19"/>
  <c r="BB44" i="19" a="1"/>
  <c r="BB44" i="19" s="1"/>
  <c r="AY17" i="19"/>
  <c r="BP15" i="23"/>
  <c r="BP52" i="23"/>
  <c r="BP48" i="23"/>
  <c r="BP44" i="23"/>
  <c r="BP40" i="23"/>
  <c r="BP35" i="23"/>
  <c r="BP21" i="23"/>
  <c r="BP31" i="23"/>
  <c r="BP13" i="23"/>
  <c r="BP29" i="23"/>
  <c r="BP41" i="23"/>
  <c r="BP47" i="23"/>
  <c r="BP45" i="23"/>
  <c r="BP33" i="23"/>
  <c r="BP30" i="23"/>
  <c r="BP51" i="23"/>
  <c r="BP43" i="23"/>
  <c r="BP39" i="23"/>
  <c r="BP36" i="23"/>
  <c r="BP54" i="23"/>
  <c r="BP50" i="23"/>
  <c r="BP46" i="23"/>
  <c r="BP42" i="23"/>
  <c r="BP38" i="23"/>
  <c r="BP23" i="23"/>
  <c r="BP9" i="23"/>
  <c r="BP49" i="23"/>
  <c r="BP17" i="23"/>
  <c r="BP53" i="23"/>
  <c r="BP37" i="23"/>
  <c r="BP12" i="23"/>
  <c r="BP11" i="23"/>
  <c r="BP28" i="23"/>
  <c r="BP14" i="23"/>
  <c r="BP7" i="23"/>
  <c r="BP20" i="23"/>
  <c r="BP10" i="23"/>
  <c r="BP3" i="23"/>
  <c r="BP8" i="23"/>
  <c r="BP6" i="23"/>
  <c r="BP27" i="23"/>
  <c r="BP19" i="23"/>
  <c r="BP24" i="23"/>
  <c r="BP18" i="23"/>
  <c r="BP22" i="23"/>
  <c r="BP4" i="23"/>
  <c r="BP34" i="23"/>
  <c r="A8" i="21"/>
  <c r="A28" i="21"/>
  <c r="A30" i="21" s="1"/>
  <c r="P46" i="21" s="1"/>
  <c r="A17" i="21"/>
  <c r="U14" i="20"/>
  <c r="U10" i="20"/>
  <c r="V10" i="20" s="1" a="1"/>
  <c r="V10" i="20" s="1"/>
  <c r="U41" i="20"/>
  <c r="U33" i="20"/>
  <c r="V33" i="20" s="1" a="1"/>
  <c r="V33" i="20" s="1"/>
  <c r="U29" i="20"/>
  <c r="V29" i="20" s="1" a="1"/>
  <c r="V29" i="20" s="1"/>
  <c r="U25" i="20"/>
  <c r="U21" i="20"/>
  <c r="U17" i="20"/>
  <c r="V17" i="20" s="1" a="1"/>
  <c r="V17" i="20" s="1"/>
  <c r="U13" i="20"/>
  <c r="V13" i="20" s="1" a="1"/>
  <c r="V13" i="20" s="1"/>
  <c r="U9" i="20"/>
  <c r="U5" i="20"/>
  <c r="U56" i="20"/>
  <c r="V56" i="20" s="1" a="1"/>
  <c r="V56" i="20" s="1"/>
  <c r="U52" i="20"/>
  <c r="V52" i="20" s="1" a="1"/>
  <c r="V52" i="20" s="1"/>
  <c r="U48" i="20"/>
  <c r="V48" i="20" s="1" a="1"/>
  <c r="V48" i="20" s="1"/>
  <c r="U40" i="20"/>
  <c r="U32" i="20"/>
  <c r="V32" i="20" s="1" a="1"/>
  <c r="V32" i="20" s="1"/>
  <c r="U24" i="20"/>
  <c r="V24" i="20" s="1" a="1"/>
  <c r="V24" i="20" s="1"/>
  <c r="U20" i="20"/>
  <c r="U16" i="20"/>
  <c r="U12" i="20"/>
  <c r="V12" i="20" s="1" a="1"/>
  <c r="V12" i="20" s="1"/>
  <c r="U4" i="20"/>
  <c r="V4" i="20" s="1" a="1"/>
  <c r="V4" i="20" s="1"/>
  <c r="V53" i="20" a="1"/>
  <c r="V53" i="20" s="1"/>
  <c r="U43" i="20"/>
  <c r="U39" i="20"/>
  <c r="V39" i="20" s="1" a="1"/>
  <c r="V39" i="20" s="1"/>
  <c r="U35" i="20"/>
  <c r="V35" i="20" s="1" a="1"/>
  <c r="V35" i="20" s="1"/>
  <c r="U31" i="20"/>
  <c r="U27" i="20"/>
  <c r="U23" i="20"/>
  <c r="V23" i="20" s="1" a="1"/>
  <c r="V23" i="20" s="1"/>
  <c r="U19" i="20"/>
  <c r="V19" i="20" s="1" a="1"/>
  <c r="V19" i="20" s="1"/>
  <c r="U15" i="20"/>
  <c r="U7" i="20"/>
  <c r="V57" i="20" a="1"/>
  <c r="V57" i="20" s="1"/>
  <c r="V46" i="20" a="1"/>
  <c r="V46" i="20" s="1"/>
  <c r="V37" i="20" a="1"/>
  <c r="V37" i="20" s="1"/>
  <c r="V54" i="20" a="1"/>
  <c r="V54" i="20" s="1"/>
  <c r="V50" i="20" a="1"/>
  <c r="V50" i="20" s="1"/>
  <c r="V45" i="20" a="1"/>
  <c r="V45" i="20" s="1"/>
  <c r="V49" i="20" a="1"/>
  <c r="V49" i="20" s="1"/>
  <c r="V11" i="20" a="1"/>
  <c r="V11" i="20" s="1"/>
  <c r="V47" i="20" a="1"/>
  <c r="V47" i="20" s="1"/>
  <c r="V3" i="20" a="1"/>
  <c r="V3" i="20" s="1"/>
  <c r="V51" i="20" a="1"/>
  <c r="V51" i="20" s="1"/>
  <c r="V55" i="20" a="1"/>
  <c r="V55" i="20" s="1"/>
  <c r="Z37" i="20"/>
  <c r="V38" i="20" a="1"/>
  <c r="V38" i="20" s="1"/>
  <c r="V18" i="20" a="1"/>
  <c r="V18" i="20" s="1"/>
  <c r="V22" i="20" a="1"/>
  <c r="V22" i="20" s="1"/>
  <c r="V34" i="20" a="1"/>
  <c r="V34" i="20" s="1"/>
  <c r="V14" i="20" a="1"/>
  <c r="V14" i="20" s="1"/>
  <c r="V41" i="20" a="1"/>
  <c r="V41" i="20" s="1"/>
  <c r="V25" i="20" a="1"/>
  <c r="V25" i="20" s="1"/>
  <c r="V21" i="20" a="1"/>
  <c r="V21" i="20" s="1"/>
  <c r="V9" i="20" a="1"/>
  <c r="V9" i="20" s="1"/>
  <c r="V5" i="20" a="1"/>
  <c r="V5" i="20" s="1"/>
  <c r="V26" i="20" a="1"/>
  <c r="V26" i="20" s="1"/>
  <c r="Z8" i="20"/>
  <c r="Z28" i="20"/>
  <c r="V40" i="20" a="1"/>
  <c r="V40" i="20" s="1"/>
  <c r="V20" i="20" a="1"/>
  <c r="V20" i="20" s="1"/>
  <c r="V16" i="20" a="1"/>
  <c r="V16" i="20" s="1"/>
  <c r="V43" i="20" a="1"/>
  <c r="V43" i="20" s="1"/>
  <c r="V31" i="20" a="1"/>
  <c r="V31" i="20" s="1"/>
  <c r="V27" i="20" a="1"/>
  <c r="V27" i="20" s="1"/>
  <c r="V15" i="20" a="1"/>
  <c r="V15" i="20" s="1"/>
  <c r="V7" i="20" a="1"/>
  <c r="V7" i="20" s="1"/>
  <c r="Z36" i="20"/>
  <c r="A11" i="20"/>
  <c r="A12" i="20" s="1"/>
  <c r="Z11" i="20"/>
  <c r="B16" i="20"/>
  <c r="Z46" i="20"/>
  <c r="A2" i="20"/>
  <c r="A3" i="20" s="1"/>
  <c r="A4" i="20" s="1"/>
  <c r="A5" i="20" s="1"/>
  <c r="B7" i="20"/>
  <c r="S72" i="20"/>
  <c r="S74" i="20" s="1"/>
  <c r="A25" i="20"/>
  <c r="BJ50" i="19" a="1"/>
  <c r="AY18" i="19" l="1" a="1"/>
  <c r="AY18" i="19" s="1"/>
  <c r="AY19" i="19" a="1"/>
  <c r="AY19" i="19" s="1"/>
  <c r="AX19" i="19" a="1"/>
  <c r="AX19" i="19" s="1"/>
  <c r="AX18" i="19" a="1"/>
  <c r="AX18" i="19" s="1"/>
  <c r="BJ50" i="19"/>
  <c r="P47" i="21"/>
  <c r="P31" i="21"/>
  <c r="P15" i="21"/>
  <c r="P43" i="21"/>
  <c r="P27" i="21"/>
  <c r="P11" i="21"/>
  <c r="P57" i="21"/>
  <c r="P48" i="21"/>
  <c r="P41" i="21"/>
  <c r="P38" i="21"/>
  <c r="P36" i="21"/>
  <c r="P33" i="21"/>
  <c r="P30" i="21"/>
  <c r="P28" i="21"/>
  <c r="P25" i="21"/>
  <c r="P22" i="21"/>
  <c r="P20" i="21"/>
  <c r="P17" i="21"/>
  <c r="P14" i="21"/>
  <c r="P12" i="21"/>
  <c r="P9" i="21"/>
  <c r="P6" i="21"/>
  <c r="P4" i="21"/>
  <c r="P53" i="21"/>
  <c r="P44" i="21"/>
  <c r="P56" i="21"/>
  <c r="P49" i="21"/>
  <c r="P40" i="21"/>
  <c r="P37" i="21"/>
  <c r="P34" i="21"/>
  <c r="P32" i="21"/>
  <c r="P29" i="21"/>
  <c r="P26" i="21"/>
  <c r="P24" i="21"/>
  <c r="P21" i="21"/>
  <c r="P18" i="21"/>
  <c r="P16" i="21"/>
  <c r="P13" i="21"/>
  <c r="P10" i="21"/>
  <c r="P8" i="21"/>
  <c r="P5" i="21"/>
  <c r="P3" i="21"/>
  <c r="P52" i="21"/>
  <c r="P45" i="21"/>
  <c r="A18" i="21"/>
  <c r="P55" i="21"/>
  <c r="P39" i="21"/>
  <c r="P23" i="21"/>
  <c r="P7" i="21"/>
  <c r="P50" i="21"/>
  <c r="A29" i="21"/>
  <c r="A31" i="21" s="1"/>
  <c r="A9" i="21"/>
  <c r="A11" i="21" s="1"/>
  <c r="P51" i="21"/>
  <c r="P35" i="21"/>
  <c r="P19" i="21"/>
  <c r="P54" i="21"/>
  <c r="P42" i="21"/>
  <c r="B30" i="21"/>
  <c r="A22" i="20"/>
  <c r="A13" i="20"/>
  <c r="A14" i="20" s="1"/>
  <c r="B25" i="20"/>
  <c r="A21" i="20"/>
  <c r="O43" i="20"/>
  <c r="O39" i="20"/>
  <c r="O35" i="20"/>
  <c r="O31" i="20"/>
  <c r="O27" i="20"/>
  <c r="O25" i="20"/>
  <c r="O19" i="20"/>
  <c r="O4" i="20"/>
  <c r="O42" i="20"/>
  <c r="O38" i="20"/>
  <c r="O34" i="20"/>
  <c r="O30" i="20"/>
  <c r="O26" i="20"/>
  <c r="O23" i="20"/>
  <c r="O21" i="20"/>
  <c r="O18" i="20"/>
  <c r="O14" i="20"/>
  <c r="O12" i="20"/>
  <c r="O10" i="20"/>
  <c r="O36" i="20"/>
  <c r="O28" i="20"/>
  <c r="O22" i="20"/>
  <c r="O20" i="20"/>
  <c r="O16" i="20"/>
  <c r="O41" i="20"/>
  <c r="O37" i="20"/>
  <c r="O33" i="20"/>
  <c r="O29" i="20"/>
  <c r="O17" i="20"/>
  <c r="O15" i="20"/>
  <c r="O9" i="20"/>
  <c r="O5" i="20"/>
  <c r="O3" i="20"/>
  <c r="O44" i="20"/>
  <c r="O40" i="20"/>
  <c r="O32" i="20"/>
  <c r="O24" i="20"/>
  <c r="A23" i="20"/>
  <c r="A24" i="20" s="1"/>
  <c r="O13" i="20"/>
  <c r="O11" i="20"/>
  <c r="O8" i="20"/>
  <c r="O6" i="20"/>
  <c r="O7" i="20"/>
  <c r="BK50" i="19" a="1"/>
  <c r="BL50" i="19" a="1"/>
  <c r="BL50" i="19" l="1"/>
  <c r="BK50" i="19"/>
  <c r="Q53" i="21"/>
  <c r="Q50" i="21"/>
  <c r="Q44" i="21"/>
  <c r="Q56" i="21"/>
  <c r="Q49" i="21"/>
  <c r="Q46" i="21"/>
  <c r="Q40" i="21"/>
  <c r="Q37" i="21"/>
  <c r="Q34" i="21"/>
  <c r="Q32" i="21"/>
  <c r="Q29" i="21"/>
  <c r="Q26" i="21"/>
  <c r="Q24" i="21"/>
  <c r="Q21" i="21"/>
  <c r="Q18" i="21"/>
  <c r="Q16" i="21"/>
  <c r="Q13" i="21"/>
  <c r="Q10" i="21"/>
  <c r="Q8" i="21"/>
  <c r="Q5" i="21"/>
  <c r="Q3" i="21"/>
  <c r="Q52" i="21"/>
  <c r="Q45" i="21"/>
  <c r="Q42" i="21"/>
  <c r="Q57" i="21"/>
  <c r="Q54" i="21"/>
  <c r="Q48" i="21"/>
  <c r="Q41" i="21"/>
  <c r="Q38" i="21"/>
  <c r="Q36" i="21"/>
  <c r="Q33" i="21"/>
  <c r="Q30" i="21"/>
  <c r="Q28" i="21"/>
  <c r="Q25" i="21"/>
  <c r="Q22" i="21"/>
  <c r="Q20" i="21"/>
  <c r="Q17" i="21"/>
  <c r="Q14" i="21"/>
  <c r="Q12" i="21"/>
  <c r="Q9" i="21"/>
  <c r="Q6" i="21"/>
  <c r="Q4" i="21"/>
  <c r="B31" i="21"/>
  <c r="Q47" i="21"/>
  <c r="Q43" i="21"/>
  <c r="Q27" i="21"/>
  <c r="Q11" i="21"/>
  <c r="Q55" i="21"/>
  <c r="Q39" i="21"/>
  <c r="Q23" i="21"/>
  <c r="Q7" i="21"/>
  <c r="Q51" i="21"/>
  <c r="Q35" i="21"/>
  <c r="Q19" i="21"/>
  <c r="Q31" i="21"/>
  <c r="Q15" i="21"/>
  <c r="A19" i="21"/>
  <c r="A21" i="21" s="1"/>
  <c r="B11" i="21"/>
  <c r="H56" i="21"/>
  <c r="H50" i="21"/>
  <c r="H48" i="21"/>
  <c r="H41" i="21"/>
  <c r="H39" i="21"/>
  <c r="H52" i="21"/>
  <c r="H45" i="21"/>
  <c r="H43" i="21"/>
  <c r="H38" i="21"/>
  <c r="H36" i="21"/>
  <c r="H29" i="21"/>
  <c r="H27" i="21"/>
  <c r="H22" i="21"/>
  <c r="H20" i="21"/>
  <c r="H13" i="21"/>
  <c r="H11" i="21"/>
  <c r="H55" i="21"/>
  <c r="H49" i="21"/>
  <c r="H47" i="21"/>
  <c r="H42" i="21"/>
  <c r="H40" i="21"/>
  <c r="H33" i="21"/>
  <c r="H31" i="21"/>
  <c r="H26" i="21"/>
  <c r="H24" i="21"/>
  <c r="H17" i="21"/>
  <c r="H15" i="21"/>
  <c r="H10" i="21"/>
  <c r="H8" i="21"/>
  <c r="H6" i="21"/>
  <c r="H4" i="21"/>
  <c r="H54" i="21"/>
  <c r="H51" i="21"/>
  <c r="H46" i="21"/>
  <c r="H44" i="21"/>
  <c r="H37" i="21"/>
  <c r="H35" i="21"/>
  <c r="H30" i="21"/>
  <c r="H28" i="21"/>
  <c r="H16" i="21"/>
  <c r="H7" i="21"/>
  <c r="H34" i="21"/>
  <c r="H25" i="21"/>
  <c r="H19" i="21"/>
  <c r="H14" i="21"/>
  <c r="H32" i="21"/>
  <c r="H23" i="21"/>
  <c r="H18" i="21"/>
  <c r="H9" i="21"/>
  <c r="H5" i="21"/>
  <c r="H21" i="21"/>
  <c r="H12" i="21"/>
  <c r="H3" i="21"/>
  <c r="H57" i="21"/>
  <c r="H53" i="21"/>
  <c r="A10" i="21"/>
  <c r="A12" i="21" s="1"/>
  <c r="A20" i="21"/>
  <c r="N44" i="20"/>
  <c r="N40" i="20"/>
  <c r="N36" i="20"/>
  <c r="N32" i="20"/>
  <c r="N28" i="20"/>
  <c r="N24" i="20"/>
  <c r="N22" i="20"/>
  <c r="N20" i="20"/>
  <c r="N16" i="20"/>
  <c r="N11" i="20"/>
  <c r="N6" i="20"/>
  <c r="N43" i="20"/>
  <c r="N39" i="20"/>
  <c r="N35" i="20"/>
  <c r="N31" i="20"/>
  <c r="N27" i="20"/>
  <c r="N25" i="20"/>
  <c r="N19" i="20"/>
  <c r="N7" i="20"/>
  <c r="N4" i="20"/>
  <c r="N37" i="20"/>
  <c r="N29" i="20"/>
  <c r="N17" i="20"/>
  <c r="N42" i="20"/>
  <c r="N38" i="20"/>
  <c r="N34" i="20"/>
  <c r="N30" i="20"/>
  <c r="N26" i="20"/>
  <c r="N23" i="20"/>
  <c r="N21" i="20"/>
  <c r="N18" i="20"/>
  <c r="N14" i="20"/>
  <c r="N12" i="20"/>
  <c r="N10" i="20"/>
  <c r="N41" i="20"/>
  <c r="N33" i="20"/>
  <c r="N15" i="20"/>
  <c r="N9" i="20"/>
  <c r="N5" i="20"/>
  <c r="N3" i="20"/>
  <c r="N13" i="20"/>
  <c r="N8" i="20"/>
  <c r="I3" i="21" l="1"/>
  <c r="I52" i="21"/>
  <c r="I45" i="21"/>
  <c r="I43" i="21"/>
  <c r="I55" i="21"/>
  <c r="I49" i="21"/>
  <c r="I47" i="21"/>
  <c r="I40" i="21"/>
  <c r="I33" i="21"/>
  <c r="I31" i="21"/>
  <c r="I24" i="21"/>
  <c r="I17" i="21"/>
  <c r="I15" i="21"/>
  <c r="I8" i="21"/>
  <c r="I6" i="21"/>
  <c r="I4" i="21"/>
  <c r="I51" i="21"/>
  <c r="I44" i="21"/>
  <c r="I37" i="21"/>
  <c r="I35" i="21"/>
  <c r="I28" i="21"/>
  <c r="I21" i="21"/>
  <c r="I19" i="21"/>
  <c r="I12" i="21"/>
  <c r="I56" i="21"/>
  <c r="I48" i="21"/>
  <c r="I41" i="21"/>
  <c r="I39" i="21"/>
  <c r="I32" i="21"/>
  <c r="I25" i="21"/>
  <c r="I23" i="21"/>
  <c r="B12" i="21"/>
  <c r="I36" i="21"/>
  <c r="I27" i="21"/>
  <c r="I20" i="21"/>
  <c r="I11" i="21"/>
  <c r="I9" i="21"/>
  <c r="I5" i="21"/>
  <c r="I13" i="21"/>
  <c r="I29" i="21"/>
  <c r="I16" i="21"/>
  <c r="I7" i="21"/>
  <c r="I46" i="21"/>
  <c r="I42" i="21"/>
  <c r="I26" i="21"/>
  <c r="I10" i="21"/>
  <c r="I53" i="21"/>
  <c r="I54" i="21"/>
  <c r="I38" i="21"/>
  <c r="I22" i="21"/>
  <c r="I57" i="21"/>
  <c r="I50" i="21"/>
  <c r="I34" i="21"/>
  <c r="I18" i="21"/>
  <c r="I30" i="21"/>
  <c r="I14" i="21"/>
  <c r="M43" i="21"/>
  <c r="M41" i="21"/>
  <c r="M36" i="21"/>
  <c r="M34" i="21"/>
  <c r="M27" i="21"/>
  <c r="M25" i="21"/>
  <c r="M20" i="21"/>
  <c r="M18" i="21"/>
  <c r="M11" i="21"/>
  <c r="M9" i="21"/>
  <c r="M4" i="21"/>
  <c r="M3" i="21"/>
  <c r="M55" i="21"/>
  <c r="M53" i="21"/>
  <c r="M50" i="21"/>
  <c r="M47" i="21"/>
  <c r="M45" i="21"/>
  <c r="M40" i="21"/>
  <c r="M38" i="21"/>
  <c r="M31" i="21"/>
  <c r="M29" i="21"/>
  <c r="M24" i="21"/>
  <c r="M22" i="21"/>
  <c r="M15" i="21"/>
  <c r="M13" i="21"/>
  <c r="M8" i="21"/>
  <c r="M6" i="21"/>
  <c r="M44" i="21"/>
  <c r="M42" i="21"/>
  <c r="M35" i="21"/>
  <c r="M33" i="21"/>
  <c r="M28" i="21"/>
  <c r="M26" i="21"/>
  <c r="M19" i="21"/>
  <c r="M17" i="21"/>
  <c r="M12" i="21"/>
  <c r="M10" i="21"/>
  <c r="M57" i="21"/>
  <c r="M54" i="21"/>
  <c r="M51" i="21"/>
  <c r="M49" i="21"/>
  <c r="M46" i="21"/>
  <c r="M39" i="21"/>
  <c r="M37" i="21"/>
  <c r="M32" i="21"/>
  <c r="M30" i="21"/>
  <c r="M23" i="21"/>
  <c r="M21" i="21"/>
  <c r="M16" i="21"/>
  <c r="M14" i="21"/>
  <c r="M7" i="21"/>
  <c r="M5" i="21"/>
  <c r="B21" i="21"/>
  <c r="M48" i="21"/>
  <c r="M56" i="21"/>
  <c r="M52" i="21"/>
  <c r="B20" i="21"/>
  <c r="L56" i="21"/>
  <c r="L54" i="21"/>
  <c r="L51" i="21"/>
  <c r="L48" i="21"/>
  <c r="L46" i="21"/>
  <c r="Z46" i="21" s="1"/>
  <c r="L39" i="21"/>
  <c r="Z39" i="21" s="1"/>
  <c r="L32" i="21"/>
  <c r="L30" i="21"/>
  <c r="L23" i="21"/>
  <c r="L16" i="21"/>
  <c r="L14" i="21"/>
  <c r="Z14" i="21" s="1"/>
  <c r="L7" i="21"/>
  <c r="L43" i="21"/>
  <c r="L36" i="21"/>
  <c r="Z36" i="21" s="1"/>
  <c r="L34" i="21"/>
  <c r="Z34" i="21" s="1"/>
  <c r="L27" i="21"/>
  <c r="Z27" i="21" s="1"/>
  <c r="L20" i="21"/>
  <c r="L18" i="21"/>
  <c r="L11" i="21"/>
  <c r="L4" i="21"/>
  <c r="L55" i="21"/>
  <c r="L52" i="21"/>
  <c r="L50" i="21"/>
  <c r="L47" i="21"/>
  <c r="L40" i="21"/>
  <c r="Z40" i="21" s="1"/>
  <c r="L38" i="21"/>
  <c r="Z38" i="21" s="1"/>
  <c r="L31" i="21"/>
  <c r="Z31" i="21" s="1"/>
  <c r="L24" i="21"/>
  <c r="L22" i="21"/>
  <c r="L15" i="21"/>
  <c r="L8" i="21"/>
  <c r="Z8" i="21" s="1"/>
  <c r="L6" i="21"/>
  <c r="L3" i="21"/>
  <c r="L44" i="21"/>
  <c r="L42" i="21"/>
  <c r="L35" i="21"/>
  <c r="L28" i="21"/>
  <c r="L26" i="21"/>
  <c r="L19" i="21"/>
  <c r="Z19" i="21" s="1"/>
  <c r="L12" i="21"/>
  <c r="L10" i="21"/>
  <c r="L45" i="21"/>
  <c r="L13" i="21"/>
  <c r="L57" i="21"/>
  <c r="L41" i="21"/>
  <c r="Z41" i="21" s="1"/>
  <c r="L25" i="21"/>
  <c r="L9" i="21"/>
  <c r="Z9" i="21" s="1"/>
  <c r="L53" i="21"/>
  <c r="L37" i="21"/>
  <c r="L21" i="21"/>
  <c r="L5" i="21"/>
  <c r="Z5" i="21" s="1"/>
  <c r="L49" i="21"/>
  <c r="L33" i="21"/>
  <c r="L17" i="21"/>
  <c r="Z17" i="21" s="1"/>
  <c r="L29" i="21"/>
  <c r="D40" i="19" a="1"/>
  <c r="D40" i="19" s="1"/>
  <c r="E40" i="19" a="1"/>
  <c r="E40" i="19" s="1"/>
  <c r="F40" i="19" a="1"/>
  <c r="F40" i="19" s="1"/>
  <c r="G40" i="19" a="1"/>
  <c r="G40" i="19" s="1"/>
  <c r="H40" i="19" a="1"/>
  <c r="H40" i="19" s="1"/>
  <c r="I40" i="19" a="1"/>
  <c r="I40" i="19" s="1"/>
  <c r="J40" i="19" a="1"/>
  <c r="J40" i="19" s="1"/>
  <c r="K40" i="19" a="1"/>
  <c r="K40" i="19" s="1"/>
  <c r="L40" i="19" a="1"/>
  <c r="L40" i="19" s="1"/>
  <c r="M40" i="19" a="1"/>
  <c r="M40" i="19" s="1"/>
  <c r="N40" i="19" a="1"/>
  <c r="N40" i="19" s="1"/>
  <c r="O40" i="19" a="1"/>
  <c r="O40" i="19" s="1"/>
  <c r="P40" i="19" a="1"/>
  <c r="P40" i="19" s="1"/>
  <c r="Q40" i="19" a="1"/>
  <c r="Q40" i="19" s="1"/>
  <c r="R40" i="19" a="1"/>
  <c r="R40" i="19" s="1"/>
  <c r="S40" i="19" a="1"/>
  <c r="S40" i="19" s="1"/>
  <c r="T40" i="19" a="1"/>
  <c r="T40" i="19" s="1"/>
  <c r="U40" i="19" a="1"/>
  <c r="U40" i="19" s="1"/>
  <c r="V40" i="19" a="1"/>
  <c r="V40" i="19" s="1"/>
  <c r="W40" i="19" a="1"/>
  <c r="W40" i="19" s="1"/>
  <c r="X40" i="19" a="1"/>
  <c r="X40" i="19" s="1"/>
  <c r="Y40" i="19" a="1"/>
  <c r="Y40" i="19" s="1"/>
  <c r="Z40" i="19" a="1"/>
  <c r="Z40" i="19" s="1"/>
  <c r="AA40" i="19" a="1"/>
  <c r="AA40" i="19" s="1"/>
  <c r="AB40" i="19" a="1"/>
  <c r="AB40" i="19" s="1"/>
  <c r="AC40" i="19" a="1"/>
  <c r="AC40" i="19" s="1"/>
  <c r="AD40" i="19" a="1"/>
  <c r="AD40" i="19" s="1"/>
  <c r="AE40" i="19" a="1"/>
  <c r="AE40" i="19" s="1"/>
  <c r="AF40" i="19" a="1"/>
  <c r="AF40" i="19" s="1"/>
  <c r="AG40" i="19" a="1"/>
  <c r="AG40" i="19" s="1"/>
  <c r="AH40" i="19" a="1"/>
  <c r="AH40" i="19" s="1"/>
  <c r="AI40" i="19" a="1"/>
  <c r="AI40" i="19" s="1"/>
  <c r="AJ40" i="19" a="1"/>
  <c r="AJ40" i="19" s="1"/>
  <c r="AK40" i="19" a="1"/>
  <c r="AK40" i="19" s="1"/>
  <c r="AL40" i="19" a="1"/>
  <c r="AL40" i="19" s="1"/>
  <c r="AM40" i="19" a="1"/>
  <c r="AM40" i="19" s="1"/>
  <c r="BC40" i="19" a="1"/>
  <c r="BC40" i="19" s="1"/>
  <c r="AN40" i="19" a="1"/>
  <c r="AN40" i="19" s="1"/>
  <c r="AO40" i="19" a="1"/>
  <c r="AO40" i="19" s="1"/>
  <c r="AP40" i="19" a="1"/>
  <c r="AP40" i="19" s="1"/>
  <c r="AQ40" i="19" a="1"/>
  <c r="AQ40" i="19" s="1"/>
  <c r="AR40" i="19" a="1"/>
  <c r="AR40" i="19" s="1"/>
  <c r="AS40" i="19" a="1"/>
  <c r="AS40" i="19" s="1"/>
  <c r="AT40" i="19" a="1"/>
  <c r="AT40" i="19" s="1"/>
  <c r="AU40" i="19" a="1"/>
  <c r="AU40" i="19" s="1"/>
  <c r="AV40" i="19" a="1"/>
  <c r="AV40" i="19" s="1"/>
  <c r="BD40" i="19" a="1"/>
  <c r="BD40" i="19" s="1"/>
  <c r="BE40" i="19" a="1"/>
  <c r="BE40" i="19" s="1"/>
  <c r="BF40" i="19" a="1"/>
  <c r="BF40" i="19" s="1"/>
  <c r="AW40" i="19" a="1"/>
  <c r="AW40" i="19" s="1"/>
  <c r="AX40" i="19" a="1"/>
  <c r="AX40" i="19" s="1"/>
  <c r="AY40" i="19" a="1"/>
  <c r="AY40" i="19" s="1"/>
  <c r="D41" i="19" a="1"/>
  <c r="D42" i="19" a="1"/>
  <c r="D43" i="19" a="1"/>
  <c r="D43" i="19" l="1"/>
  <c r="D42" i="19"/>
  <c r="D41" i="19"/>
  <c r="D16" i="19" s="1"/>
  <c r="U55" i="21" a="1"/>
  <c r="U55" i="21" s="1"/>
  <c r="V55" i="21" s="1" a="1"/>
  <c r="V55" i="21" s="1"/>
  <c r="U51" i="21" a="1"/>
  <c r="U51" i="21" s="1"/>
  <c r="V51" i="21" s="1" a="1"/>
  <c r="V51" i="21" s="1"/>
  <c r="U47" i="21" a="1"/>
  <c r="U47" i="21" s="1"/>
  <c r="V47" i="21" s="1" a="1"/>
  <c r="V47" i="21" s="1"/>
  <c r="U43" i="21" a="1"/>
  <c r="U43" i="21" s="1"/>
  <c r="V43" i="21" s="1" a="1"/>
  <c r="V43" i="21" s="1"/>
  <c r="U54" i="21" a="1"/>
  <c r="U54" i="21" s="1"/>
  <c r="V54" i="21" s="1" a="1"/>
  <c r="V54" i="21" s="1"/>
  <c r="U50" i="21" a="1"/>
  <c r="U50" i="21" s="1"/>
  <c r="V50" i="21" s="1" a="1"/>
  <c r="V50" i="21" s="1"/>
  <c r="U46" i="21" a="1"/>
  <c r="U46" i="21" s="1"/>
  <c r="V46" i="21" s="1" a="1"/>
  <c r="V46" i="21" s="1"/>
  <c r="U42" i="21" a="1"/>
  <c r="U42" i="21" s="1"/>
  <c r="V42" i="21" s="1" a="1"/>
  <c r="V42" i="21" s="1"/>
  <c r="U38" i="21" a="1"/>
  <c r="U38" i="21" s="1"/>
  <c r="V38" i="21" s="1" a="1"/>
  <c r="V38" i="21" s="1"/>
  <c r="U34" i="21" a="1"/>
  <c r="U34" i="21" s="1"/>
  <c r="V34" i="21" s="1" a="1"/>
  <c r="V34" i="21" s="1"/>
  <c r="U30" i="21" a="1"/>
  <c r="U30" i="21" s="1"/>
  <c r="V30" i="21" s="1" a="1"/>
  <c r="V30" i="21" s="1"/>
  <c r="U26" i="21" a="1"/>
  <c r="U26" i="21" s="1"/>
  <c r="V26" i="21" s="1" a="1"/>
  <c r="V26" i="21" s="1"/>
  <c r="U22" i="21" a="1"/>
  <c r="U22" i="21" s="1"/>
  <c r="V22" i="21" s="1" a="1"/>
  <c r="V22" i="21" s="1"/>
  <c r="U53" i="21" a="1"/>
  <c r="U53" i="21" s="1"/>
  <c r="V53" i="21" s="1" a="1"/>
  <c r="V53" i="21" s="1"/>
  <c r="U45" i="21" a="1"/>
  <c r="U45" i="21" s="1"/>
  <c r="V45" i="21" s="1" a="1"/>
  <c r="V45" i="21" s="1"/>
  <c r="U40" i="21" a="1"/>
  <c r="U40" i="21" s="1"/>
  <c r="V40" i="21" s="1" a="1"/>
  <c r="V40" i="21" s="1"/>
  <c r="U37" i="21" a="1"/>
  <c r="U37" i="21" s="1"/>
  <c r="V37" i="21" s="1" a="1"/>
  <c r="V37" i="21" s="1"/>
  <c r="U27" i="21" a="1"/>
  <c r="U27" i="21" s="1"/>
  <c r="V27" i="21" s="1" a="1"/>
  <c r="V27" i="21" s="1"/>
  <c r="U24" i="21" a="1"/>
  <c r="U24" i="21" s="1"/>
  <c r="V24" i="21" s="1" a="1"/>
  <c r="V24" i="21" s="1"/>
  <c r="U21" i="21" a="1"/>
  <c r="U21" i="21" s="1"/>
  <c r="V21" i="21" s="1" a="1"/>
  <c r="V21" i="21" s="1"/>
  <c r="U19" i="21" a="1"/>
  <c r="U19" i="21" s="1"/>
  <c r="V19" i="21" s="1" a="1"/>
  <c r="V19" i="21" s="1"/>
  <c r="U15" i="21" a="1"/>
  <c r="U15" i="21" s="1"/>
  <c r="V15" i="21" s="1" a="1"/>
  <c r="V15" i="21" s="1"/>
  <c r="U11" i="21" a="1"/>
  <c r="U11" i="21" s="1"/>
  <c r="V11" i="21" s="1" a="1"/>
  <c r="V11" i="21" s="1"/>
  <c r="U7" i="21" a="1"/>
  <c r="U7" i="21" s="1"/>
  <c r="V7" i="21" s="1" a="1"/>
  <c r="V7" i="21" s="1"/>
  <c r="U52" i="21" a="1"/>
  <c r="U52" i="21" s="1"/>
  <c r="V52" i="21" s="1" a="1"/>
  <c r="V52" i="21" s="1"/>
  <c r="U44" i="21" a="1"/>
  <c r="U44" i="21" s="1"/>
  <c r="V44" i="21" s="1" a="1"/>
  <c r="V44" i="21" s="1"/>
  <c r="U31" i="21" a="1"/>
  <c r="U31" i="21" s="1"/>
  <c r="V31" i="21" s="1" a="1"/>
  <c r="V31" i="21" s="1"/>
  <c r="U28" i="21" a="1"/>
  <c r="U28" i="21" s="1"/>
  <c r="V28" i="21" s="1" a="1"/>
  <c r="V28" i="21" s="1"/>
  <c r="U25" i="21" a="1"/>
  <c r="U25" i="21" s="1"/>
  <c r="V25" i="21" s="1" a="1"/>
  <c r="V25" i="21" s="1"/>
  <c r="U18" i="21" a="1"/>
  <c r="U18" i="21" s="1"/>
  <c r="V18" i="21" s="1" a="1"/>
  <c r="V18" i="21" s="1"/>
  <c r="U14" i="21" a="1"/>
  <c r="U14" i="21" s="1"/>
  <c r="V14" i="21" s="1" a="1"/>
  <c r="V14" i="21" s="1"/>
  <c r="U10" i="21" a="1"/>
  <c r="U10" i="21" s="1"/>
  <c r="V10" i="21" s="1" a="1"/>
  <c r="V10" i="21" s="1"/>
  <c r="U6" i="21" a="1"/>
  <c r="U6" i="21" s="1"/>
  <c r="V6" i="21" s="1" a="1"/>
  <c r="V6" i="21" s="1"/>
  <c r="U57" i="21" a="1"/>
  <c r="U57" i="21" s="1"/>
  <c r="V57" i="21" s="1" a="1"/>
  <c r="V57" i="21" s="1"/>
  <c r="U49" i="21" a="1"/>
  <c r="U49" i="21" s="1"/>
  <c r="V49" i="21" s="1" a="1"/>
  <c r="V49" i="21" s="1"/>
  <c r="U41" i="21" a="1"/>
  <c r="U41" i="21" s="1"/>
  <c r="V41" i="21" s="1" a="1"/>
  <c r="V41" i="21" s="1"/>
  <c r="U35" i="21" a="1"/>
  <c r="U35" i="21" s="1"/>
  <c r="V35" i="21" s="1" a="1"/>
  <c r="V35" i="21" s="1"/>
  <c r="U32" i="21" a="1"/>
  <c r="U32" i="21" s="1"/>
  <c r="V32" i="21" s="1" a="1"/>
  <c r="V32" i="21" s="1"/>
  <c r="U29" i="21" a="1"/>
  <c r="U29" i="21" s="1"/>
  <c r="V29" i="21" s="1" a="1"/>
  <c r="V29" i="21" s="1"/>
  <c r="U17" i="21" a="1"/>
  <c r="U17" i="21" s="1"/>
  <c r="V17" i="21" s="1" a="1"/>
  <c r="V17" i="21" s="1"/>
  <c r="U13" i="21" a="1"/>
  <c r="U13" i="21" s="1"/>
  <c r="V13" i="21" s="1" a="1"/>
  <c r="V13" i="21" s="1"/>
  <c r="U9" i="21" a="1"/>
  <c r="U9" i="21" s="1"/>
  <c r="V9" i="21" s="1" a="1"/>
  <c r="V9" i="21" s="1"/>
  <c r="U23" i="21" a="1"/>
  <c r="U23" i="21" s="1"/>
  <c r="V23" i="21" s="1" a="1"/>
  <c r="V23" i="21" s="1"/>
  <c r="U3" i="21" a="1"/>
  <c r="U3" i="21" s="1"/>
  <c r="V3" i="21" s="1" a="1"/>
  <c r="V3" i="21" s="1"/>
  <c r="U36" i="21" a="1"/>
  <c r="U36" i="21" s="1"/>
  <c r="V36" i="21" s="1" a="1"/>
  <c r="V36" i="21" s="1"/>
  <c r="U5" i="21" a="1"/>
  <c r="U5" i="21" s="1"/>
  <c r="V5" i="21" s="1" a="1"/>
  <c r="V5" i="21" s="1"/>
  <c r="U33" i="21" a="1"/>
  <c r="U33" i="21" s="1"/>
  <c r="V33" i="21" s="1" a="1"/>
  <c r="V33" i="21" s="1"/>
  <c r="U12" i="21" a="1"/>
  <c r="U12" i="21" s="1"/>
  <c r="V12" i="21" s="1" a="1"/>
  <c r="V12" i="21" s="1"/>
  <c r="U56" i="21" a="1"/>
  <c r="U56" i="21" s="1"/>
  <c r="V56" i="21" s="1" a="1"/>
  <c r="V56" i="21" s="1"/>
  <c r="U39" i="21" a="1"/>
  <c r="U39" i="21" s="1"/>
  <c r="V39" i="21" s="1" a="1"/>
  <c r="V39" i="21" s="1"/>
  <c r="U20" i="21" a="1"/>
  <c r="U20" i="21" s="1"/>
  <c r="V20" i="21" s="1" a="1"/>
  <c r="V20" i="21" s="1"/>
  <c r="U4" i="21" a="1"/>
  <c r="U4" i="21" s="1"/>
  <c r="V4" i="21" s="1" a="1"/>
  <c r="V4" i="21" s="1"/>
  <c r="U48" i="21" a="1"/>
  <c r="U48" i="21" s="1"/>
  <c r="V48" i="21" s="1" a="1"/>
  <c r="V48" i="21" s="1"/>
  <c r="U16" i="21" a="1"/>
  <c r="U16" i="21" s="1"/>
  <c r="V16" i="21" s="1" a="1"/>
  <c r="V16" i="21" s="1"/>
  <c r="U8" i="21" a="1"/>
  <c r="U8" i="21" s="1"/>
  <c r="V8" i="21" s="1" a="1"/>
  <c r="V8" i="21" s="1"/>
  <c r="W55" i="21" a="1"/>
  <c r="W55" i="21" s="1"/>
  <c r="X55" i="21" s="1" a="1"/>
  <c r="X55" i="21" s="1"/>
  <c r="W51" i="21" a="1"/>
  <c r="W51" i="21" s="1"/>
  <c r="X51" i="21" s="1" a="1"/>
  <c r="X51" i="21" s="1"/>
  <c r="W47" i="21" a="1"/>
  <c r="W47" i="21" s="1"/>
  <c r="X47" i="21" s="1" a="1"/>
  <c r="X47" i="21" s="1"/>
  <c r="W43" i="21" a="1"/>
  <c r="W43" i="21" s="1"/>
  <c r="X43" i="21" s="1" a="1"/>
  <c r="X43" i="21" s="1"/>
  <c r="W54" i="21" a="1"/>
  <c r="W54" i="21" s="1"/>
  <c r="X54" i="21" s="1" a="1"/>
  <c r="X54" i="21" s="1"/>
  <c r="W50" i="21" a="1"/>
  <c r="W50" i="21" s="1"/>
  <c r="X50" i="21" s="1" a="1"/>
  <c r="X50" i="21" s="1"/>
  <c r="W46" i="21" a="1"/>
  <c r="W46" i="21" s="1"/>
  <c r="X46" i="21" s="1" a="1"/>
  <c r="X46" i="21" s="1"/>
  <c r="W42" i="21" a="1"/>
  <c r="W42" i="21" s="1"/>
  <c r="X42" i="21" s="1" a="1"/>
  <c r="X42" i="21" s="1"/>
  <c r="W38" i="21" a="1"/>
  <c r="W38" i="21" s="1"/>
  <c r="X38" i="21" s="1" a="1"/>
  <c r="X38" i="21" s="1"/>
  <c r="W34" i="21" a="1"/>
  <c r="W34" i="21" s="1"/>
  <c r="X34" i="21" s="1" a="1"/>
  <c r="X34" i="21" s="1"/>
  <c r="W30" i="21" a="1"/>
  <c r="W30" i="21" s="1"/>
  <c r="X30" i="21" s="1" a="1"/>
  <c r="X30" i="21" s="1"/>
  <c r="W26" i="21" a="1"/>
  <c r="W26" i="21" s="1"/>
  <c r="X26" i="21" s="1" a="1"/>
  <c r="X26" i="21" s="1"/>
  <c r="W22" i="21" a="1"/>
  <c r="W22" i="21" s="1"/>
  <c r="X22" i="21" s="1" a="1"/>
  <c r="X22" i="21" s="1"/>
  <c r="W57" i="21" a="1"/>
  <c r="W57" i="21" s="1"/>
  <c r="X57" i="21" s="1" a="1"/>
  <c r="X57" i="21" s="1"/>
  <c r="W49" i="21" a="1"/>
  <c r="W49" i="21" s="1"/>
  <c r="X49" i="21" s="1" a="1"/>
  <c r="X49" i="21" s="1"/>
  <c r="W41" i="21" a="1"/>
  <c r="W41" i="21" s="1"/>
  <c r="X41" i="21" s="1" a="1"/>
  <c r="X41" i="21" s="1"/>
  <c r="W39" i="21" a="1"/>
  <c r="W39" i="21" s="1"/>
  <c r="X39" i="21" s="1" a="1"/>
  <c r="X39" i="21" s="1"/>
  <c r="W36" i="21" a="1"/>
  <c r="W36" i="21" s="1"/>
  <c r="X36" i="21" s="1" a="1"/>
  <c r="X36" i="21" s="1"/>
  <c r="W33" i="21" a="1"/>
  <c r="W33" i="21" s="1"/>
  <c r="X33" i="21" s="1" a="1"/>
  <c r="X33" i="21" s="1"/>
  <c r="W23" i="21" a="1"/>
  <c r="W23" i="21" s="1"/>
  <c r="X23" i="21" s="1" a="1"/>
  <c r="X23" i="21" s="1"/>
  <c r="W20" i="21" a="1"/>
  <c r="W20" i="21" s="1"/>
  <c r="X20" i="21" s="1" a="1"/>
  <c r="X20" i="21" s="1"/>
  <c r="W19" i="21" a="1"/>
  <c r="W19" i="21" s="1"/>
  <c r="X19" i="21" s="1" a="1"/>
  <c r="X19" i="21" s="1"/>
  <c r="W15" i="21" a="1"/>
  <c r="W15" i="21" s="1"/>
  <c r="X15" i="21" s="1" a="1"/>
  <c r="X15" i="21" s="1"/>
  <c r="W11" i="21" a="1"/>
  <c r="W11" i="21" s="1"/>
  <c r="X11" i="21" s="1" a="1"/>
  <c r="X11" i="21" s="1"/>
  <c r="W7" i="21" a="1"/>
  <c r="W7" i="21" s="1"/>
  <c r="X7" i="21" s="1" a="1"/>
  <c r="X7" i="21" s="1"/>
  <c r="W56" i="21" a="1"/>
  <c r="W56" i="21" s="1"/>
  <c r="X56" i="21" s="1" a="1"/>
  <c r="X56" i="21" s="1"/>
  <c r="W48" i="21" a="1"/>
  <c r="W48" i="21" s="1"/>
  <c r="X48" i="21" s="1" a="1"/>
  <c r="X48" i="21" s="1"/>
  <c r="W40" i="21" a="1"/>
  <c r="W40" i="21" s="1"/>
  <c r="X40" i="21" s="1" a="1"/>
  <c r="X40" i="21" s="1"/>
  <c r="W37" i="21" a="1"/>
  <c r="W37" i="21" s="1"/>
  <c r="X37" i="21" s="1" a="1"/>
  <c r="X37" i="21" s="1"/>
  <c r="W27" i="21" a="1"/>
  <c r="W27" i="21" s="1"/>
  <c r="X27" i="21" s="1" a="1"/>
  <c r="X27" i="21" s="1"/>
  <c r="W24" i="21" a="1"/>
  <c r="W24" i="21" s="1"/>
  <c r="X24" i="21" s="1" a="1"/>
  <c r="X24" i="21" s="1"/>
  <c r="W21" i="21" a="1"/>
  <c r="W21" i="21" s="1"/>
  <c r="X21" i="21" s="1" a="1"/>
  <c r="X21" i="21" s="1"/>
  <c r="W18" i="21" a="1"/>
  <c r="W18" i="21" s="1"/>
  <c r="X18" i="21" s="1" a="1"/>
  <c r="X18" i="21" s="1"/>
  <c r="W14" i="21" a="1"/>
  <c r="W14" i="21" s="1"/>
  <c r="X14" i="21" s="1" a="1"/>
  <c r="X14" i="21" s="1"/>
  <c r="W10" i="21" a="1"/>
  <c r="W10" i="21" s="1"/>
  <c r="X10" i="21" s="1" a="1"/>
  <c r="X10" i="21" s="1"/>
  <c r="W6" i="21" a="1"/>
  <c r="W6" i="21" s="1"/>
  <c r="X6" i="21" s="1" a="1"/>
  <c r="X6" i="21" s="1"/>
  <c r="W53" i="21" a="1"/>
  <c r="W53" i="21" s="1"/>
  <c r="X53" i="21" s="1" a="1"/>
  <c r="X53" i="21" s="1"/>
  <c r="W45" i="21" a="1"/>
  <c r="W45" i="21" s="1"/>
  <c r="X45" i="21" s="1" a="1"/>
  <c r="X45" i="21" s="1"/>
  <c r="W31" i="21" a="1"/>
  <c r="W31" i="21" s="1"/>
  <c r="X31" i="21" s="1" a="1"/>
  <c r="X31" i="21" s="1"/>
  <c r="W28" i="21" a="1"/>
  <c r="W28" i="21" s="1"/>
  <c r="X28" i="21" s="1" a="1"/>
  <c r="X28" i="21" s="1"/>
  <c r="W25" i="21" a="1"/>
  <c r="W25" i="21" s="1"/>
  <c r="X25" i="21" s="1" a="1"/>
  <c r="X25" i="21" s="1"/>
  <c r="W17" i="21" a="1"/>
  <c r="W17" i="21" s="1"/>
  <c r="X17" i="21" s="1" a="1"/>
  <c r="X17" i="21" s="1"/>
  <c r="W13" i="21" a="1"/>
  <c r="W13" i="21" s="1"/>
  <c r="X13" i="21" s="1" a="1"/>
  <c r="X13" i="21" s="1"/>
  <c r="W9" i="21" a="1"/>
  <c r="W9" i="21" s="1"/>
  <c r="X9" i="21" s="1" a="1"/>
  <c r="X9" i="21" s="1"/>
  <c r="W32" i="21" a="1"/>
  <c r="W32" i="21" s="1"/>
  <c r="X32" i="21" s="1" a="1"/>
  <c r="X32" i="21" s="1"/>
  <c r="W8" i="21" a="1"/>
  <c r="W8" i="21" s="1"/>
  <c r="X8" i="21" s="1" a="1"/>
  <c r="X8" i="21" s="1"/>
  <c r="W44" i="21" a="1"/>
  <c r="W44" i="21" s="1"/>
  <c r="X44" i="21" s="1" a="1"/>
  <c r="X44" i="21" s="1"/>
  <c r="W12" i="21" a="1"/>
  <c r="W12" i="21" s="1"/>
  <c r="X12" i="21" s="1" a="1"/>
  <c r="X12" i="21" s="1"/>
  <c r="W52" i="21" a="1"/>
  <c r="W52" i="21" s="1"/>
  <c r="X52" i="21" s="1" a="1"/>
  <c r="X52" i="21" s="1"/>
  <c r="W29" i="21" a="1"/>
  <c r="W29" i="21" s="1"/>
  <c r="X29" i="21" s="1" a="1"/>
  <c r="X29" i="21" s="1"/>
  <c r="W16" i="21" a="1"/>
  <c r="W16" i="21" s="1"/>
  <c r="X16" i="21" s="1" a="1"/>
  <c r="X16" i="21" s="1"/>
  <c r="W3" i="21" a="1"/>
  <c r="W3" i="21" s="1"/>
  <c r="X3" i="21" s="1" a="1"/>
  <c r="X3" i="21" s="1"/>
  <c r="W4" i="21" a="1"/>
  <c r="W4" i="21" s="1"/>
  <c r="X4" i="21" s="1" a="1"/>
  <c r="X4" i="21" s="1"/>
  <c r="W35" i="21" a="1"/>
  <c r="W35" i="21" s="1"/>
  <c r="X35" i="21" s="1" a="1"/>
  <c r="X35" i="21" s="1"/>
  <c r="W5" i="21" a="1"/>
  <c r="W5" i="21" s="1"/>
  <c r="X5" i="21" s="1" a="1"/>
  <c r="X5" i="21" s="1"/>
  <c r="Z29" i="21"/>
  <c r="Z13" i="21"/>
  <c r="Z42" i="21"/>
  <c r="Z11" i="21"/>
  <c r="Z32" i="21"/>
  <c r="Z45" i="21"/>
  <c r="Z26" i="21"/>
  <c r="Z25" i="21"/>
  <c r="Z16" i="21"/>
  <c r="Z10" i="21"/>
  <c r="Z43" i="21"/>
  <c r="Z44" i="21"/>
  <c r="Z15" i="21"/>
  <c r="Z33" i="21"/>
  <c r="Z28" i="21"/>
  <c r="Z22" i="21"/>
  <c r="Z20" i="21"/>
  <c r="Z23" i="21"/>
  <c r="Z21" i="21"/>
  <c r="Z18" i="21"/>
  <c r="Z37" i="21"/>
  <c r="Z3" i="21"/>
  <c r="Z12" i="21"/>
  <c r="Z35" i="21"/>
  <c r="Z6" i="21"/>
  <c r="Z24" i="21"/>
  <c r="Z47" i="21"/>
  <c r="Z4" i="21"/>
  <c r="Z7" i="21"/>
  <c r="Z30" i="21"/>
  <c r="H59" i="21"/>
  <c r="BM4" i="19" a="1"/>
  <c r="AC41" i="19" a="1"/>
  <c r="AQ43" i="19" a="1"/>
  <c r="O43" i="19" a="1"/>
  <c r="AS42" i="19" a="1"/>
  <c r="AA42" i="19" a="1"/>
  <c r="AD41" i="19" a="1"/>
  <c r="L43" i="19" a="1"/>
  <c r="K41" i="19" a="1"/>
  <c r="F42" i="19" a="1"/>
  <c r="O41" i="19" a="1"/>
  <c r="AA43" i="19" a="1"/>
  <c r="T42" i="19" a="1"/>
  <c r="AV43" i="19" a="1"/>
  <c r="AG42" i="19" a="1"/>
  <c r="AE43" i="19" a="1"/>
  <c r="AR41" i="19" a="1"/>
  <c r="AW41" i="19" a="1"/>
  <c r="E42" i="19" a="1"/>
  <c r="AJ43" i="19" a="1"/>
  <c r="Y43" i="19" a="1"/>
  <c r="BC42" i="19" a="1"/>
  <c r="G42" i="19" a="1"/>
  <c r="AD42" i="19" a="1"/>
  <c r="P42" i="19" a="1"/>
  <c r="BF41" i="19" a="1"/>
  <c r="AL41" i="19" a="1"/>
  <c r="AU42" i="19" a="1"/>
  <c r="AT43" i="19" a="1"/>
  <c r="AN41" i="19" a="1"/>
  <c r="AO42" i="19" a="1"/>
  <c r="AP42" i="19" a="1"/>
  <c r="AY43" i="19" a="1"/>
  <c r="AH41" i="19" a="1"/>
  <c r="G43" i="19" a="1"/>
  <c r="Z42" i="19" a="1"/>
  <c r="AI43" i="19" a="1"/>
  <c r="AK43" i="19" a="1"/>
  <c r="G41" i="19" a="1"/>
  <c r="H42" i="19" a="1"/>
  <c r="AC42" i="19" a="1"/>
  <c r="AW43" i="19" a="1"/>
  <c r="V41" i="19" a="1"/>
  <c r="AK42" i="19" a="1"/>
  <c r="AE41" i="19" a="1"/>
  <c r="R41" i="19" a="1"/>
  <c r="E41" i="19" a="1"/>
  <c r="AX43" i="19" a="1"/>
  <c r="M43" i="19" a="1"/>
  <c r="AJ41" i="19" a="1"/>
  <c r="AJ42" i="19" a="1"/>
  <c r="AA41" i="19" a="1"/>
  <c r="F41" i="19" a="1"/>
  <c r="X43" i="19" a="1"/>
  <c r="AN43" i="19" a="1"/>
  <c r="BF42" i="19" a="1"/>
  <c r="AH42" i="19" a="1"/>
  <c r="Q42" i="19" a="1"/>
  <c r="BC43" i="19" a="1"/>
  <c r="T41" i="19" a="1"/>
  <c r="AD43" i="19" a="1"/>
  <c r="U42" i="19" a="1"/>
  <c r="AV42" i="19" a="1"/>
  <c r="H41" i="19" a="1"/>
  <c r="M41" i="19" a="1"/>
  <c r="AQ41" i="19" a="1"/>
  <c r="AL43" i="19" a="1"/>
  <c r="AT42" i="19" a="1"/>
  <c r="AY41" i="19" a="1"/>
  <c r="V43" i="19" a="1"/>
  <c r="S43" i="19" a="1"/>
  <c r="AY42" i="19" a="1"/>
  <c r="Q41" i="19" a="1"/>
  <c r="AG41" i="19" a="1"/>
  <c r="AU43" i="19" a="1"/>
  <c r="Z41" i="19" a="1"/>
  <c r="BE41" i="19" a="1"/>
  <c r="AB42" i="19" a="1"/>
  <c r="I41" i="19" a="1"/>
  <c r="K43" i="19" a="1"/>
  <c r="AM41" i="19" a="1"/>
  <c r="AC43" i="19" a="1"/>
  <c r="O42" i="19" a="1"/>
  <c r="R42" i="19" a="1"/>
  <c r="W43" i="19" a="1"/>
  <c r="J42" i="19" a="1"/>
  <c r="Y42" i="19" a="1"/>
  <c r="BD43" i="19" a="1"/>
  <c r="BF43" i="19" a="1"/>
  <c r="AS41" i="19" a="1"/>
  <c r="AW42" i="19" a="1"/>
  <c r="AM43" i="19" a="1"/>
  <c r="Y41" i="19" a="1"/>
  <c r="BE43" i="19" a="1"/>
  <c r="BC41" i="19" a="1"/>
  <c r="S42" i="19" a="1"/>
  <c r="U43" i="19" a="1"/>
  <c r="AE42" i="19" a="1"/>
  <c r="N43" i="19" a="1"/>
  <c r="P43" i="19" a="1"/>
  <c r="AI42" i="19" a="1"/>
  <c r="I42" i="19" a="1"/>
  <c r="AF43" i="19" a="1"/>
  <c r="AO43" i="19" a="1"/>
  <c r="W42" i="19" a="1"/>
  <c r="BE42" i="19" a="1"/>
  <c r="N42" i="19" a="1"/>
  <c r="AF41" i="19" a="1"/>
  <c r="AV41" i="19" a="1"/>
  <c r="AO41" i="19" a="1"/>
  <c r="J43" i="19" a="1"/>
  <c r="S41" i="19" a="1"/>
  <c r="X41" i="19" a="1"/>
  <c r="AS43" i="19" a="1"/>
  <c r="F43" i="19" a="1"/>
  <c r="AK41" i="19" a="1"/>
  <c r="AL42" i="19" a="1"/>
  <c r="BD42" i="19" a="1"/>
  <c r="AB41" i="19" a="1"/>
  <c r="R43" i="19" a="1"/>
  <c r="P41" i="19" a="1"/>
  <c r="AP41" i="19" a="1"/>
  <c r="AH43" i="19" a="1"/>
  <c r="AX42" i="19" a="1"/>
  <c r="AI41" i="19" a="1"/>
  <c r="J41" i="19" a="1"/>
  <c r="AB43" i="19" a="1"/>
  <c r="AR43" i="19" a="1"/>
  <c r="Z43" i="19" a="1"/>
  <c r="AT41" i="19" a="1"/>
  <c r="H43" i="19" a="1"/>
  <c r="T43" i="19" a="1"/>
  <c r="K42" i="19" a="1"/>
  <c r="L42" i="19" a="1"/>
  <c r="N41" i="19" a="1"/>
  <c r="AM42" i="19" a="1"/>
  <c r="I43" i="19" a="1"/>
  <c r="AU41" i="19" a="1"/>
  <c r="AX41" i="19" a="1"/>
  <c r="AG43" i="19" a="1"/>
  <c r="W41" i="19" a="1"/>
  <c r="V42" i="19" a="1"/>
  <c r="M42" i="19" a="1"/>
  <c r="L41" i="19" a="1"/>
  <c r="AF42" i="19" a="1"/>
  <c r="E43" i="19" a="1"/>
  <c r="Q43" i="19" a="1"/>
  <c r="AR42" i="19" a="1"/>
  <c r="BD41" i="19" a="1"/>
  <c r="U41" i="19" a="1"/>
  <c r="AN42" i="19" a="1"/>
  <c r="AQ42" i="19" a="1"/>
  <c r="AP43" i="19" a="1"/>
  <c r="X42" i="19" a="1"/>
  <c r="BM4" i="19" l="1"/>
  <c r="D44" i="19" a="1"/>
  <c r="D44" i="19" s="1"/>
  <c r="D17" i="19"/>
  <c r="D19" i="19" s="1" a="1"/>
  <c r="D19" i="19" s="1"/>
  <c r="I43" i="19"/>
  <c r="T43" i="19"/>
  <c r="X41" i="19"/>
  <c r="S16" i="19" s="1"/>
  <c r="AJ43" i="19"/>
  <c r="AQ41" i="19"/>
  <c r="K43" i="19"/>
  <c r="AD43" i="19"/>
  <c r="AS41" i="19"/>
  <c r="Y16" i="19" s="1"/>
  <c r="W43" i="19"/>
  <c r="AT43" i="19"/>
  <c r="F42" i="19"/>
  <c r="U43" i="19"/>
  <c r="AG42" i="19"/>
  <c r="AN42" i="19"/>
  <c r="AW43" i="19"/>
  <c r="BD18" i="19" s="1"/>
  <c r="G41" i="19"/>
  <c r="G16" i="19" s="1"/>
  <c r="AH41" i="19"/>
  <c r="AR16" i="19" s="1"/>
  <c r="H43" i="19"/>
  <c r="S41" i="19"/>
  <c r="W16" i="19" s="1"/>
  <c r="AP41" i="19"/>
  <c r="AU16" i="19" s="1"/>
  <c r="E43" i="19"/>
  <c r="I41" i="19"/>
  <c r="I16" i="19" s="1"/>
  <c r="T41" i="19"/>
  <c r="X16" i="19" s="1"/>
  <c r="AF43" i="19"/>
  <c r="AJ41" i="19"/>
  <c r="AU42" i="19"/>
  <c r="K41" i="19"/>
  <c r="K16" i="19" s="1"/>
  <c r="V43" i="19"/>
  <c r="AL42" i="19"/>
  <c r="AX43" i="19"/>
  <c r="BE18" i="19" s="1"/>
  <c r="L41" i="19"/>
  <c r="L16" i="19" s="1"/>
  <c r="W41" i="19"/>
  <c r="R16" i="19" s="1"/>
  <c r="AM42" i="19"/>
  <c r="AT41" i="19"/>
  <c r="Z16" i="19" s="1"/>
  <c r="J43" i="19"/>
  <c r="E42" i="19"/>
  <c r="M41" i="19"/>
  <c r="M16" i="19" s="1"/>
  <c r="AB42" i="19"/>
  <c r="BC43" i="19"/>
  <c r="BF43" i="19"/>
  <c r="R42" i="19"/>
  <c r="AL41" i="19"/>
  <c r="AK16" i="19" s="1"/>
  <c r="L43" i="19"/>
  <c r="AE41" i="19"/>
  <c r="AY43" i="19"/>
  <c r="BF18" i="19" s="1"/>
  <c r="N43" i="19"/>
  <c r="Y41" i="19"/>
  <c r="AC16" i="19" s="1"/>
  <c r="AK43" i="19"/>
  <c r="AV43" i="19"/>
  <c r="Z43" i="19"/>
  <c r="AO41" i="19"/>
  <c r="AV16" i="19" s="1"/>
  <c r="P41" i="19"/>
  <c r="T16" i="19" s="1"/>
  <c r="AI42" i="19"/>
  <c r="BE41" i="19"/>
  <c r="BB16" i="19" s="1"/>
  <c r="Q42" i="19"/>
  <c r="X42" i="19"/>
  <c r="BC41" i="19"/>
  <c r="AZ16" i="19" s="1"/>
  <c r="BF41" i="19"/>
  <c r="BC16" i="19" s="1"/>
  <c r="AD41" i="19"/>
  <c r="AY41" i="19"/>
  <c r="BF16" i="19" s="1"/>
  <c r="N41" i="19"/>
  <c r="N16" i="19" s="1"/>
  <c r="U41" i="19"/>
  <c r="P16" i="19" s="1"/>
  <c r="AC42" i="19"/>
  <c r="AG43" i="19"/>
  <c r="AK41" i="19"/>
  <c r="AR43" i="19"/>
  <c r="AV41" i="19"/>
  <c r="AB16" i="19" s="1"/>
  <c r="AW41" i="19"/>
  <c r="BD16" i="19" s="1"/>
  <c r="O42" i="19"/>
  <c r="Z41" i="19"/>
  <c r="AD16" i="19" s="1"/>
  <c r="AH42" i="19"/>
  <c r="BD43" i="19"/>
  <c r="H41" i="19"/>
  <c r="H16" i="19" s="1"/>
  <c r="P42" i="19"/>
  <c r="AA42" i="19"/>
  <c r="AI43" i="19"/>
  <c r="AP42" i="19"/>
  <c r="E41" i="19"/>
  <c r="E16" i="19" s="1"/>
  <c r="M42" i="19"/>
  <c r="Q43" i="19"/>
  <c r="T42" i="19"/>
  <c r="AB43" i="19"/>
  <c r="AF41" i="19"/>
  <c r="AP16" i="19" s="1"/>
  <c r="AJ42" i="19"/>
  <c r="AQ42" i="19"/>
  <c r="AU43" i="19"/>
  <c r="BF42" i="19"/>
  <c r="R43" i="19"/>
  <c r="V41" i="19"/>
  <c r="Q16" i="19" s="1"/>
  <c r="AD42" i="19"/>
  <c r="AS42" i="19"/>
  <c r="AX41" i="19"/>
  <c r="BE16" i="19" s="1"/>
  <c r="L42" i="19"/>
  <c r="AE42" i="19"/>
  <c r="AM43" i="19"/>
  <c r="AT42" i="19"/>
  <c r="F43" i="19"/>
  <c r="J41" i="19"/>
  <c r="J16" i="19" s="1"/>
  <c r="N42" i="19"/>
  <c r="Y42" i="19"/>
  <c r="AC43" i="19"/>
  <c r="AG41" i="19"/>
  <c r="AQ16" i="19" s="1"/>
  <c r="AN43" i="19"/>
  <c r="AR41" i="19"/>
  <c r="AV42" i="19"/>
  <c r="G42" i="19"/>
  <c r="O43" i="19"/>
  <c r="Z42" i="19"/>
  <c r="AO42" i="19"/>
  <c r="BD41" i="19"/>
  <c r="BA16" i="19" s="1"/>
  <c r="H42" i="19"/>
  <c r="S42" i="19"/>
  <c r="AA43" i="19"/>
  <c r="AI41" i="19"/>
  <c r="AS16" i="19" s="1"/>
  <c r="BE42" i="19"/>
  <c r="I42" i="19"/>
  <c r="M43" i="19"/>
  <c r="Q41" i="19"/>
  <c r="U16" i="19" s="1"/>
  <c r="X43" i="19"/>
  <c r="AB41" i="19"/>
  <c r="AF16" i="19" s="1"/>
  <c r="AF42" i="19"/>
  <c r="BC42" i="19"/>
  <c r="AQ43" i="19"/>
  <c r="AU41" i="19"/>
  <c r="AA16" i="19" s="1"/>
  <c r="K42" i="19"/>
  <c r="R41" i="19"/>
  <c r="V16" i="19" s="1"/>
  <c r="V42" i="19"/>
  <c r="AL43" i="19"/>
  <c r="AS43" i="19"/>
  <c r="AX42" i="19"/>
  <c r="W42" i="19"/>
  <c r="AE43" i="19"/>
  <c r="AM41" i="19"/>
  <c r="AT16" i="19" s="1"/>
  <c r="AY42" i="19"/>
  <c r="F41" i="19"/>
  <c r="F16" i="19" s="1"/>
  <c r="J42" i="19"/>
  <c r="U42" i="19"/>
  <c r="Y43" i="19"/>
  <c r="AC41" i="19"/>
  <c r="AG16" i="19" s="1"/>
  <c r="AK42" i="19"/>
  <c r="AN41" i="19"/>
  <c r="AL16" i="19" s="1"/>
  <c r="AR42" i="19"/>
  <c r="AW42" i="19"/>
  <c r="G43" i="19"/>
  <c r="O41" i="19"/>
  <c r="AH43" i="19"/>
  <c r="AO43" i="19"/>
  <c r="BD42" i="19"/>
  <c r="P43" i="19"/>
  <c r="S43" i="19"/>
  <c r="AA41" i="19"/>
  <c r="AE16" i="19" s="1"/>
  <c r="AP43" i="19"/>
  <c r="BE43" i="19"/>
  <c r="B4" i="19"/>
  <c r="V72" i="21"/>
  <c r="V74" i="21" s="1"/>
  <c r="AB46" i="21"/>
  <c r="BM51" i="19" a="1"/>
  <c r="BM17" i="19" a="1"/>
  <c r="BM28" i="19" a="1"/>
  <c r="BM18" i="19" a="1"/>
  <c r="BM48" i="19" a="1"/>
  <c r="BM43" i="19" a="1"/>
  <c r="BM53" i="19" a="1"/>
  <c r="BM25" i="19" a="1"/>
  <c r="BM16" i="19" a="1"/>
  <c r="BM36" i="19" a="1"/>
  <c r="BM54" i="19" a="1"/>
  <c r="BM30" i="19" a="1"/>
  <c r="BL51" i="19" a="1"/>
  <c r="BM22" i="19" a="1"/>
  <c r="BM24" i="19" a="1"/>
  <c r="BM42" i="19" a="1"/>
  <c r="BM21" i="19" a="1"/>
  <c r="BM45" i="19" a="1"/>
  <c r="BM37" i="19" a="1"/>
  <c r="BM26" i="19" a="1"/>
  <c r="BM29" i="19" a="1"/>
  <c r="BM47" i="19" a="1"/>
  <c r="BM39" i="19" a="1"/>
  <c r="BM5" i="19" a="1"/>
  <c r="BM34" i="19" a="1"/>
  <c r="BJ4" i="19" a="1"/>
  <c r="BM15" i="19" a="1"/>
  <c r="BM11" i="19" a="1"/>
  <c r="BM41" i="19" a="1"/>
  <c r="BM52" i="19" a="1"/>
  <c r="BM31" i="19" a="1"/>
  <c r="BM14" i="19" a="1"/>
  <c r="BM10" i="19" a="1"/>
  <c r="BM7" i="19" a="1"/>
  <c r="BM6" i="19" a="1"/>
  <c r="BM35" i="19" a="1"/>
  <c r="BM33" i="19" a="1"/>
  <c r="BM8" i="19" a="1"/>
  <c r="BM55" i="19" a="1"/>
  <c r="BM9" i="19" a="1"/>
  <c r="BM32" i="19" a="1"/>
  <c r="BM27" i="19" a="1"/>
  <c r="BM20" i="19" a="1"/>
  <c r="BM44" i="19" a="1"/>
  <c r="BM46" i="19" a="1"/>
  <c r="BM12" i="19" a="1"/>
  <c r="BM23" i="19" a="1"/>
  <c r="BM13" i="19" a="1"/>
  <c r="BM38" i="19" a="1"/>
  <c r="BM19" i="19" a="1"/>
  <c r="BM40" i="19" a="1"/>
  <c r="D18" i="19" l="1" a="1"/>
  <c r="D18" i="19" s="1"/>
  <c r="BM55" i="19"/>
  <c r="BM27" i="19"/>
  <c r="BM6" i="19"/>
  <c r="BM47" i="19"/>
  <c r="BM28" i="19"/>
  <c r="BM44" i="19"/>
  <c r="BM16" i="19"/>
  <c r="BM31" i="19"/>
  <c r="BM23" i="19"/>
  <c r="BM41" i="19"/>
  <c r="BM7" i="19"/>
  <c r="BM45" i="19"/>
  <c r="BM29" i="19"/>
  <c r="BM32" i="19"/>
  <c r="BM48" i="19"/>
  <c r="BM30" i="19"/>
  <c r="BM25" i="19"/>
  <c r="BL51" i="19"/>
  <c r="BM12" i="19"/>
  <c r="BM11" i="19"/>
  <c r="BM20" i="19"/>
  <c r="BM19" i="19"/>
  <c r="BM24" i="19"/>
  <c r="BM42" i="19"/>
  <c r="BM17" i="19"/>
  <c r="BM52" i="19"/>
  <c r="BM33" i="19"/>
  <c r="BM10" i="19"/>
  <c r="BM5" i="19"/>
  <c r="BM26" i="19"/>
  <c r="BM21" i="19"/>
  <c r="BM54" i="19"/>
  <c r="BM53" i="19"/>
  <c r="BM38" i="19"/>
  <c r="BM46" i="19"/>
  <c r="BM9" i="19"/>
  <c r="BM18" i="19"/>
  <c r="BM35" i="19"/>
  <c r="BM15" i="19"/>
  <c r="BM40" i="19"/>
  <c r="BM39" i="19"/>
  <c r="BM22" i="19"/>
  <c r="BM8" i="19"/>
  <c r="BM36" i="19"/>
  <c r="BM14" i="19"/>
  <c r="BM51" i="19"/>
  <c r="BM13" i="19"/>
  <c r="BM37" i="19"/>
  <c r="BM34" i="19"/>
  <c r="BM43" i="19"/>
  <c r="BJ4" i="19"/>
  <c r="E24" i="19"/>
  <c r="E29" i="19"/>
  <c r="AN29" i="19" s="1"/>
  <c r="BD44" i="19" a="1"/>
  <c r="BD44" i="19" s="1"/>
  <c r="BA17" i="19"/>
  <c r="AK44" i="19" a="1"/>
  <c r="AK44" i="19" s="1"/>
  <c r="AN17" i="19"/>
  <c r="AO44" i="19" a="1"/>
  <c r="AO44" i="19" s="1"/>
  <c r="AV17" i="19"/>
  <c r="AQ44" i="19" a="1"/>
  <c r="AQ44" i="19" s="1"/>
  <c r="AW17" i="19"/>
  <c r="O44" i="19" a="1"/>
  <c r="O44" i="19" s="1"/>
  <c r="R10" i="19" s="1"/>
  <c r="O17" i="19"/>
  <c r="AM44" i="19" a="1"/>
  <c r="AM44" i="19" s="1"/>
  <c r="AT17" i="19"/>
  <c r="AL44" i="19" a="1"/>
  <c r="AL44" i="19" s="1"/>
  <c r="AK17" i="19"/>
  <c r="AW44" i="19" a="1"/>
  <c r="AW44" i="19" s="1"/>
  <c r="BD17" i="19"/>
  <c r="W44" i="19" a="1"/>
  <c r="W44" i="19" s="1"/>
  <c r="R17" i="19"/>
  <c r="V44" i="19" a="1"/>
  <c r="V44" i="19" s="1"/>
  <c r="Q17" i="19"/>
  <c r="S44" i="19" a="1"/>
  <c r="S44" i="19" s="1"/>
  <c r="W17" i="19"/>
  <c r="E44" i="19" a="1"/>
  <c r="E44" i="19" s="1"/>
  <c r="E17" i="19"/>
  <c r="J44" i="19" a="1"/>
  <c r="J44" i="19" s="1"/>
  <c r="J17" i="19"/>
  <c r="I44" i="19" a="1"/>
  <c r="I44" i="19" s="1"/>
  <c r="I17" i="19"/>
  <c r="AV44" i="19" a="1"/>
  <c r="AV44" i="19" s="1"/>
  <c r="AB17" i="19"/>
  <c r="L44" i="19" a="1"/>
  <c r="L44" i="19" s="1"/>
  <c r="L17" i="19"/>
  <c r="T44" i="19" a="1"/>
  <c r="T44" i="19" s="1"/>
  <c r="X17" i="19"/>
  <c r="AP44" i="19" a="1"/>
  <c r="AP44" i="19" s="1"/>
  <c r="AU17" i="19"/>
  <c r="AI44" i="19" a="1"/>
  <c r="AI44" i="19" s="1"/>
  <c r="AS17" i="19"/>
  <c r="R44" i="19" a="1"/>
  <c r="R44" i="19" s="1"/>
  <c r="V17" i="19"/>
  <c r="AG44" i="19" a="1"/>
  <c r="AG44" i="19" s="1"/>
  <c r="AQ17" i="19"/>
  <c r="Z44" i="19" a="1"/>
  <c r="Z44" i="19" s="1"/>
  <c r="AD17" i="19"/>
  <c r="Y44" i="19" a="1"/>
  <c r="Y44" i="19" s="1"/>
  <c r="AC17" i="19"/>
  <c r="AT44" i="19" a="1"/>
  <c r="AT44" i="19" s="1"/>
  <c r="Z17" i="19"/>
  <c r="AJ44" i="19" a="1"/>
  <c r="AJ44" i="19" s="1"/>
  <c r="AO17" i="19"/>
  <c r="X44" i="19" a="1"/>
  <c r="X44" i="19" s="1"/>
  <c r="S17" i="19"/>
  <c r="AR44" i="19" a="1"/>
  <c r="AR44" i="19" s="1"/>
  <c r="AM17" i="19"/>
  <c r="AY44" i="19" a="1"/>
  <c r="AY44" i="19" s="1"/>
  <c r="BF17" i="19"/>
  <c r="AX44" i="19" a="1"/>
  <c r="AX44" i="19" s="1"/>
  <c r="BE17" i="19"/>
  <c r="BC44" i="19" a="1"/>
  <c r="BC44" i="19" s="1"/>
  <c r="AZ17" i="19"/>
  <c r="BE44" i="19" a="1"/>
  <c r="BE44" i="19" s="1"/>
  <c r="BB17" i="19"/>
  <c r="H44" i="19" a="1"/>
  <c r="H44" i="19" s="1"/>
  <c r="H17" i="19"/>
  <c r="N44" i="19" a="1"/>
  <c r="N44" i="19" s="1"/>
  <c r="N17" i="19"/>
  <c r="AS44" i="19" a="1"/>
  <c r="AS44" i="19" s="1"/>
  <c r="Y17" i="19"/>
  <c r="BF44" i="19" a="1"/>
  <c r="BF44" i="19" s="1"/>
  <c r="BC17" i="19"/>
  <c r="M44" i="19" a="1"/>
  <c r="M44" i="19" s="1"/>
  <c r="M17" i="19"/>
  <c r="AA44" i="19" a="1"/>
  <c r="AA44" i="19" s="1"/>
  <c r="AE17" i="19"/>
  <c r="AH44" i="19" a="1"/>
  <c r="AH44" i="19" s="1"/>
  <c r="AR17" i="19"/>
  <c r="AC44" i="19" a="1"/>
  <c r="AC44" i="19" s="1"/>
  <c r="AG17" i="19"/>
  <c r="Q44" i="19" a="1"/>
  <c r="Q44" i="19" s="1"/>
  <c r="U17" i="19"/>
  <c r="F44" i="19" a="1"/>
  <c r="F44" i="19" s="1"/>
  <c r="F17" i="19"/>
  <c r="M13" i="19"/>
  <c r="U44" i="19" a="1"/>
  <c r="U44" i="19" s="1"/>
  <c r="P17" i="19"/>
  <c r="K44" i="19" a="1"/>
  <c r="K44" i="19" s="1"/>
  <c r="K17" i="19"/>
  <c r="AF44" i="19" a="1"/>
  <c r="AF44" i="19" s="1"/>
  <c r="AP17" i="19"/>
  <c r="G44" i="19" a="1"/>
  <c r="G44" i="19" s="1"/>
  <c r="G17" i="19"/>
  <c r="AE44" i="19" a="1"/>
  <c r="AE44" i="19" s="1"/>
  <c r="AI17" i="19"/>
  <c r="AD44" i="19" a="1"/>
  <c r="AD44" i="19" s="1"/>
  <c r="AH17" i="19"/>
  <c r="P44" i="19" a="1"/>
  <c r="P44" i="19" s="1"/>
  <c r="T17" i="19"/>
  <c r="AB44" i="19" a="1"/>
  <c r="AB44" i="19" s="1"/>
  <c r="AF17" i="19"/>
  <c r="AU44" i="19" a="1"/>
  <c r="AU44" i="19" s="1"/>
  <c r="AA17" i="19"/>
  <c r="AN44" i="19" a="1"/>
  <c r="AN44" i="19" s="1"/>
  <c r="AL17" i="19"/>
  <c r="AF12" i="19"/>
  <c r="AF13" i="19"/>
  <c r="AE9" i="19"/>
  <c r="AE10" i="19"/>
  <c r="AD7" i="19"/>
  <c r="AC4" i="19"/>
  <c r="AB9" i="19"/>
  <c r="AB10" i="19"/>
  <c r="Z3" i="19"/>
  <c r="Z4" i="19"/>
  <c r="Z12" i="19"/>
  <c r="Z13" i="19"/>
  <c r="Y10" i="19"/>
  <c r="X6" i="19"/>
  <c r="X7" i="19"/>
  <c r="W3" i="19"/>
  <c r="W4" i="19"/>
  <c r="W13" i="19"/>
  <c r="V9" i="19"/>
  <c r="U6" i="19"/>
  <c r="V10" i="19"/>
  <c r="U7" i="19"/>
  <c r="N13" i="19"/>
  <c r="M10" i="19"/>
  <c r="L6" i="19"/>
  <c r="L7" i="19"/>
  <c r="R6" i="19"/>
  <c r="T13" i="19"/>
  <c r="S10" i="19"/>
  <c r="R7" i="19"/>
  <c r="K13" i="19"/>
  <c r="J10" i="19"/>
  <c r="I6" i="19"/>
  <c r="C7" i="19"/>
  <c r="B3" i="19"/>
  <c r="AC12" i="19"/>
  <c r="AC13" i="19"/>
  <c r="E4" i="19"/>
  <c r="H13" i="19"/>
  <c r="D10" i="19"/>
  <c r="G10" i="19"/>
  <c r="F7" i="19"/>
  <c r="I7" i="19"/>
  <c r="P10" i="19"/>
  <c r="V2" i="2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3" i="8"/>
  <c r="BQ9" i="2"/>
  <c r="U2" i="2"/>
  <c r="W2" i="2"/>
  <c r="X2" i="2"/>
  <c r="BL4" i="19" a="1"/>
  <c r="BJ42" i="19" a="1"/>
  <c r="BJ27" i="19" a="1"/>
  <c r="BJ24" i="19" a="1"/>
  <c r="BJ38" i="19" a="1"/>
  <c r="BJ9" i="19" a="1"/>
  <c r="BJ54" i="19" a="1"/>
  <c r="BJ28" i="19" a="1"/>
  <c r="BJ53" i="19" a="1"/>
  <c r="BJ5" i="19" a="1"/>
  <c r="BJ7" i="19" a="1"/>
  <c r="BJ26" i="19" a="1"/>
  <c r="BJ23" i="19" a="1"/>
  <c r="BJ46" i="19" a="1"/>
  <c r="BJ55" i="19" a="1"/>
  <c r="BJ32" i="19" a="1"/>
  <c r="BJ13" i="19" a="1"/>
  <c r="BJ25" i="19" a="1"/>
  <c r="BJ8" i="19" a="1"/>
  <c r="BJ15" i="19" a="1"/>
  <c r="BJ29" i="19" a="1"/>
  <c r="BJ18" i="19" a="1"/>
  <c r="BJ17" i="19" a="1"/>
  <c r="BJ37" i="19" a="1"/>
  <c r="BJ35" i="19" a="1"/>
  <c r="BJ6" i="19" a="1"/>
  <c r="BJ12" i="19" a="1"/>
  <c r="BJ31" i="19" a="1"/>
  <c r="BJ14" i="19" a="1"/>
  <c r="BJ21" i="19" a="1"/>
  <c r="BJ49" i="19" a="1"/>
  <c r="BJ41" i="19" a="1"/>
  <c r="BJ16" i="19" a="1"/>
  <c r="BJ45" i="19" a="1"/>
  <c r="BJ36" i="19" a="1"/>
  <c r="BJ43" i="19" a="1"/>
  <c r="BJ39" i="19" a="1"/>
  <c r="BJ19" i="19" a="1"/>
  <c r="BJ47" i="19" a="1"/>
  <c r="BJ48" i="19" a="1"/>
  <c r="BL36" i="19" a="1"/>
  <c r="BJ22" i="19" a="1"/>
  <c r="BJ11" i="19" a="1"/>
  <c r="BJ30" i="19" a="1"/>
  <c r="BJ10" i="19" a="1"/>
  <c r="BJ51" i="19" a="1"/>
  <c r="BK4" i="19" a="1"/>
  <c r="BJ44" i="19" a="1"/>
  <c r="BJ40" i="19" a="1"/>
  <c r="BJ20" i="19" a="1"/>
  <c r="BJ33" i="19" a="1"/>
  <c r="BJ34" i="19" a="1"/>
  <c r="BJ52" i="19" a="1"/>
  <c r="AA18" i="19" l="1" a="1"/>
  <c r="AA18" i="19" s="1"/>
  <c r="AA19" i="19" a="1"/>
  <c r="AA19" i="19" s="1"/>
  <c r="T19" i="19" a="1"/>
  <c r="T19" i="19" s="1"/>
  <c r="T18" i="19" a="1"/>
  <c r="T18" i="19" s="1"/>
  <c r="AI18" i="19" a="1"/>
  <c r="AI18" i="19" s="1"/>
  <c r="AI19" i="19" a="1"/>
  <c r="AI19" i="19" s="1"/>
  <c r="AP19" i="19" a="1"/>
  <c r="AP19" i="19" s="1"/>
  <c r="AP18" i="19" a="1"/>
  <c r="AP18" i="19" s="1"/>
  <c r="P19" i="19" a="1"/>
  <c r="P19" i="19" s="1"/>
  <c r="P18" i="19" a="1"/>
  <c r="P18" i="19" s="1"/>
  <c r="U18" i="19" a="1"/>
  <c r="U18" i="19" s="1"/>
  <c r="U19" i="19" a="1"/>
  <c r="U19" i="19" s="1"/>
  <c r="M18" i="19" a="1"/>
  <c r="M18" i="19" s="1"/>
  <c r="M19" i="19" a="1"/>
  <c r="M19" i="19" s="1"/>
  <c r="H19" i="19" a="1"/>
  <c r="H19" i="19" s="1"/>
  <c r="H18" i="19" a="1"/>
  <c r="H18" i="19" s="1"/>
  <c r="Z19" i="19" a="1"/>
  <c r="Z19" i="19" s="1"/>
  <c r="Z18" i="19" a="1"/>
  <c r="Z18" i="19" s="1"/>
  <c r="AL19" i="19" a="1"/>
  <c r="AL19" i="19" s="1"/>
  <c r="AL18" i="19" a="1"/>
  <c r="AL18" i="19" s="1"/>
  <c r="AF19" i="19" a="1"/>
  <c r="AF19" i="19" s="1"/>
  <c r="AF18" i="19" a="1"/>
  <c r="AF18" i="19" s="1"/>
  <c r="AH19" i="19" a="1"/>
  <c r="AH19" i="19" s="1"/>
  <c r="AH18" i="19" a="1"/>
  <c r="AH18" i="19" s="1"/>
  <c r="G18" i="19" a="1"/>
  <c r="G18" i="19" s="1"/>
  <c r="G19" i="19" a="1"/>
  <c r="G19" i="19" s="1"/>
  <c r="K18" i="19" a="1"/>
  <c r="K18" i="19" s="1"/>
  <c r="K19" i="19" a="1"/>
  <c r="K19" i="19" s="1"/>
  <c r="AR19" i="19" a="1"/>
  <c r="AR19" i="19" s="1"/>
  <c r="AR18" i="19" a="1"/>
  <c r="AR18" i="19" s="1"/>
  <c r="Y18" i="19" a="1"/>
  <c r="Y18" i="19" s="1"/>
  <c r="Y19" i="19" a="1"/>
  <c r="Y19" i="19" s="1"/>
  <c r="AZ19" i="19" a="1"/>
  <c r="AZ19" i="19" s="1"/>
  <c r="AZ18" i="19" a="1"/>
  <c r="AZ18" i="19" s="1"/>
  <c r="S18" i="19" a="1"/>
  <c r="S18" i="19" s="1"/>
  <c r="S19" i="19" a="1"/>
  <c r="S19" i="19" s="1"/>
  <c r="AD19" i="19" a="1"/>
  <c r="AD19" i="19" s="1"/>
  <c r="AD18" i="19" a="1"/>
  <c r="AD18" i="19" s="1"/>
  <c r="V19" i="19" a="1"/>
  <c r="V19" i="19" s="1"/>
  <c r="V18" i="19" a="1"/>
  <c r="V18" i="19" s="1"/>
  <c r="AU18" i="19" a="1"/>
  <c r="AU18" i="19" s="1"/>
  <c r="AU19" i="19" a="1"/>
  <c r="AU19" i="19" s="1"/>
  <c r="L19" i="19" a="1"/>
  <c r="L19" i="19" s="1"/>
  <c r="L18" i="19" a="1"/>
  <c r="L18" i="19" s="1"/>
  <c r="I18" i="19" a="1"/>
  <c r="I18" i="19" s="1"/>
  <c r="I19" i="19" a="1"/>
  <c r="I19" i="19" s="1"/>
  <c r="E18" i="19" a="1"/>
  <c r="E18" i="19" s="1"/>
  <c r="E19" i="19" a="1"/>
  <c r="E19" i="19" s="1"/>
  <c r="Q18" i="19" a="1"/>
  <c r="Q18" i="19" s="1"/>
  <c r="Q19" i="19" a="1"/>
  <c r="Q19" i="19" s="1"/>
  <c r="AT19" i="19" a="1"/>
  <c r="AT19" i="19" s="1"/>
  <c r="AT18" i="19" a="1"/>
  <c r="AT18" i="19" s="1"/>
  <c r="AW18" i="19" a="1"/>
  <c r="AW18" i="19" s="1"/>
  <c r="AW19" i="19" a="1"/>
  <c r="AW19" i="19" s="1"/>
  <c r="AN19" i="19" a="1"/>
  <c r="AN19" i="19" s="1"/>
  <c r="AN18" i="19" a="1"/>
  <c r="AN18" i="19" s="1"/>
  <c r="F19" i="19" a="1"/>
  <c r="F19" i="19" s="1"/>
  <c r="F18" i="19" a="1"/>
  <c r="F18" i="19" s="1"/>
  <c r="AG18" i="19" a="1"/>
  <c r="AG18" i="19" s="1"/>
  <c r="AG19" i="19" a="1"/>
  <c r="AG19" i="19" s="1"/>
  <c r="AE18" i="19" a="1"/>
  <c r="AE18" i="19" s="1"/>
  <c r="AE19" i="19" a="1"/>
  <c r="AE19" i="19" s="1"/>
  <c r="BC18" i="19" a="1"/>
  <c r="BC18" i="19" s="1"/>
  <c r="BC19" i="19" a="1"/>
  <c r="BC19" i="19" s="1"/>
  <c r="N19" i="19" a="1"/>
  <c r="N19" i="19" s="1"/>
  <c r="N18" i="19" a="1"/>
  <c r="N18" i="19" s="1"/>
  <c r="BB19" i="19" a="1"/>
  <c r="BB19" i="19" s="1"/>
  <c r="BB18" i="19" a="1"/>
  <c r="BB18" i="19" s="1"/>
  <c r="AM18" i="19" a="1"/>
  <c r="AM18" i="19" s="1"/>
  <c r="AM19" i="19" a="1"/>
  <c r="AM19" i="19" s="1"/>
  <c r="AO18" i="19" a="1"/>
  <c r="AO18" i="19" s="1"/>
  <c r="AO19" i="19" a="1"/>
  <c r="AO19" i="19" s="1"/>
  <c r="AC18" i="19" a="1"/>
  <c r="AC18" i="19" s="1"/>
  <c r="AC19" i="19" a="1"/>
  <c r="AC19" i="19" s="1"/>
  <c r="AQ18" i="19" a="1"/>
  <c r="AQ18" i="19" s="1"/>
  <c r="AQ19" i="19" a="1"/>
  <c r="AQ19" i="19" s="1"/>
  <c r="AS18" i="19" a="1"/>
  <c r="AS18" i="19" s="1"/>
  <c r="AS19" i="19" a="1"/>
  <c r="AS19" i="19" s="1"/>
  <c r="X19" i="19" a="1"/>
  <c r="X19" i="19" s="1"/>
  <c r="X18" i="19" a="1"/>
  <c r="X18" i="19" s="1"/>
  <c r="AB19" i="19" a="1"/>
  <c r="AB19" i="19" s="1"/>
  <c r="AB18" i="19" a="1"/>
  <c r="AB18" i="19" s="1"/>
  <c r="J19" i="19" a="1"/>
  <c r="J19" i="19" s="1"/>
  <c r="J18" i="19" a="1"/>
  <c r="J18" i="19" s="1"/>
  <c r="W18" i="19" a="1"/>
  <c r="W18" i="19" s="1"/>
  <c r="W19" i="19" a="1"/>
  <c r="W19" i="19" s="1"/>
  <c r="R19" i="19" a="1"/>
  <c r="R19" i="19" s="1"/>
  <c r="R18" i="19" a="1"/>
  <c r="R18" i="19" s="1"/>
  <c r="AK18" i="19" a="1"/>
  <c r="AK18" i="19" s="1"/>
  <c r="AK19" i="19" a="1"/>
  <c r="AK19" i="19" s="1"/>
  <c r="O18" i="19" a="1"/>
  <c r="O18" i="19" s="1"/>
  <c r="O19" i="19" a="1"/>
  <c r="O19" i="19" s="1"/>
  <c r="AV19" i="19" a="1"/>
  <c r="AV19" i="19" s="1"/>
  <c r="AV18" i="19" a="1"/>
  <c r="AV18" i="19" s="1"/>
  <c r="BA18" i="19" a="1"/>
  <c r="BA18" i="19" s="1"/>
  <c r="BA19" i="19" a="1"/>
  <c r="BA19" i="19" s="1"/>
  <c r="BL4" i="19"/>
  <c r="BJ55" i="19"/>
  <c r="BL36" i="19"/>
  <c r="BJ49" i="19"/>
  <c r="BO49" i="19" s="1"/>
  <c r="BJ40" i="19"/>
  <c r="BO40" i="19" s="1"/>
  <c r="BJ28" i="19"/>
  <c r="BO28" i="19" s="1"/>
  <c r="BJ30" i="19"/>
  <c r="BO30" i="19" s="1"/>
  <c r="BJ7" i="19"/>
  <c r="BO7" i="19" s="1"/>
  <c r="BJ11" i="19"/>
  <c r="BO11" i="19" s="1"/>
  <c r="BJ17" i="19"/>
  <c r="BO17" i="19" s="1"/>
  <c r="BJ34" i="19"/>
  <c r="BO34" i="19" s="1"/>
  <c r="BJ13" i="19"/>
  <c r="BO13" i="19" s="1"/>
  <c r="BJ45" i="19"/>
  <c r="BO45" i="19" s="1"/>
  <c r="BJ8" i="19"/>
  <c r="BO8" i="19" s="1"/>
  <c r="BJ51" i="19"/>
  <c r="BO51" i="19" s="1"/>
  <c r="BJ24" i="19"/>
  <c r="BO24" i="19" s="1"/>
  <c r="BJ46" i="19"/>
  <c r="BO46" i="19" s="1"/>
  <c r="BJ26" i="19"/>
  <c r="BO26" i="19" s="1"/>
  <c r="BJ18" i="19"/>
  <c r="BO18" i="19" s="1"/>
  <c r="BJ41" i="19"/>
  <c r="BO41" i="19" s="1"/>
  <c r="BJ12" i="19"/>
  <c r="BO12" i="19" s="1"/>
  <c r="BJ9" i="19"/>
  <c r="BO9" i="19" s="1"/>
  <c r="BJ5" i="19"/>
  <c r="BO5" i="19" s="1"/>
  <c r="BJ22" i="19"/>
  <c r="BO22" i="19" s="1"/>
  <c r="BJ39" i="19"/>
  <c r="BO39" i="19" s="1"/>
  <c r="BJ43" i="19"/>
  <c r="BO43" i="19" s="1"/>
  <c r="BJ36" i="19"/>
  <c r="BO36" i="19" s="1"/>
  <c r="BJ47" i="19"/>
  <c r="BO47" i="19" s="1"/>
  <c r="BJ16" i="19"/>
  <c r="BO16" i="19" s="1"/>
  <c r="BJ31" i="19"/>
  <c r="BO31" i="19" s="1"/>
  <c r="BJ32" i="19"/>
  <c r="BO32" i="19" s="1"/>
  <c r="BJ21" i="19"/>
  <c r="BO21" i="19" s="1"/>
  <c r="BJ6" i="19"/>
  <c r="BO6" i="19" s="1"/>
  <c r="BJ29" i="19"/>
  <c r="BO29" i="19" s="1"/>
  <c r="BJ27" i="19"/>
  <c r="BO27" i="19" s="1"/>
  <c r="BJ54" i="19"/>
  <c r="BO54" i="19" s="1"/>
  <c r="BJ14" i="19"/>
  <c r="BO14" i="19" s="1"/>
  <c r="BJ53" i="19"/>
  <c r="BO53" i="19" s="1"/>
  <c r="BJ44" i="19"/>
  <c r="BO44" i="19" s="1"/>
  <c r="BJ37" i="19"/>
  <c r="BO37" i="19" s="1"/>
  <c r="BJ25" i="19"/>
  <c r="BO25" i="19" s="1"/>
  <c r="BJ33" i="19"/>
  <c r="BO33" i="19" s="1"/>
  <c r="BJ35" i="19"/>
  <c r="BO35" i="19" s="1"/>
  <c r="BJ20" i="19"/>
  <c r="BO20" i="19" s="1"/>
  <c r="BJ48" i="19"/>
  <c r="BO48" i="19" s="1"/>
  <c r="BJ10" i="19"/>
  <c r="BO10" i="19" s="1"/>
  <c r="BJ19" i="19"/>
  <c r="BO19" i="19" s="1"/>
  <c r="BJ23" i="19"/>
  <c r="BO23" i="19" s="1"/>
  <c r="BJ38" i="19"/>
  <c r="BO38" i="19" s="1"/>
  <c r="BJ15" i="19"/>
  <c r="BO15" i="19" s="1"/>
  <c r="BJ42" i="19"/>
  <c r="BO42" i="19" s="1"/>
  <c r="BJ52" i="19"/>
  <c r="BO52" i="19" s="1"/>
  <c r="BK4" i="19"/>
  <c r="E36" i="19"/>
  <c r="D36" i="19" s="1"/>
  <c r="E30" i="19"/>
  <c r="AP29" i="19" s="1"/>
  <c r="BD19" i="19"/>
  <c r="U10" i="19"/>
  <c r="T6" i="19"/>
  <c r="N6" i="19"/>
  <c r="P13" i="19"/>
  <c r="X10" i="19"/>
  <c r="X9" i="19"/>
  <c r="Y4" i="19"/>
  <c r="Z7" i="19"/>
  <c r="AA10" i="19"/>
  <c r="AB12" i="19"/>
  <c r="AB3" i="19"/>
  <c r="AD9" i="19"/>
  <c r="AF7" i="19"/>
  <c r="AG9" i="19"/>
  <c r="AH12" i="19"/>
  <c r="BF19" i="19"/>
  <c r="BE19" i="19"/>
  <c r="T7" i="19"/>
  <c r="V13" i="19"/>
  <c r="N7" i="19"/>
  <c r="O10" i="19"/>
  <c r="W7" i="19"/>
  <c r="W6" i="19"/>
  <c r="Y13" i="19"/>
  <c r="Y3" i="19"/>
  <c r="Z6" i="19"/>
  <c r="AB13" i="19"/>
  <c r="AB4" i="19"/>
  <c r="AD10" i="19"/>
  <c r="AE4" i="19"/>
  <c r="AG10" i="19"/>
  <c r="AH13" i="19"/>
  <c r="BO50" i="19"/>
  <c r="B61" i="17"/>
  <c r="B60" i="17"/>
  <c r="B59" i="17"/>
  <c r="B58" i="17"/>
  <c r="B25" i="17"/>
  <c r="B24" i="17"/>
  <c r="B23" i="17"/>
  <c r="B22" i="17"/>
  <c r="B51" i="17"/>
  <c r="B45" i="17"/>
  <c r="B43" i="17"/>
  <c r="B37" i="17"/>
  <c r="B34" i="17"/>
  <c r="B32" i="17"/>
  <c r="B30" i="17"/>
  <c r="B28" i="17"/>
  <c r="B57" i="17"/>
  <c r="B56" i="17"/>
  <c r="B55" i="17"/>
  <c r="B54" i="17"/>
  <c r="B53" i="17"/>
  <c r="B52" i="17"/>
  <c r="B50" i="17"/>
  <c r="B49" i="17"/>
  <c r="B48" i="17"/>
  <c r="B39" i="17"/>
  <c r="B44" i="17"/>
  <c r="B47" i="17"/>
  <c r="B42" i="17"/>
  <c r="B46" i="17"/>
  <c r="B41" i="17"/>
  <c r="B40" i="17"/>
  <c r="B36" i="17"/>
  <c r="B35" i="17"/>
  <c r="B33" i="17"/>
  <c r="B31" i="17"/>
  <c r="B29" i="17"/>
  <c r="B27" i="17"/>
  <c r="B26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L27" i="19" a="1"/>
  <c r="BK26" i="19" a="1"/>
  <c r="BK30" i="19" a="1"/>
  <c r="BL49" i="19" a="1"/>
  <c r="BL39" i="19" a="1"/>
  <c r="BL23" i="19" a="1"/>
  <c r="BL18" i="19" a="1"/>
  <c r="BL16" i="19" a="1"/>
  <c r="BL44" i="19" a="1"/>
  <c r="BK17" i="19" a="1"/>
  <c r="BL14" i="19" a="1"/>
  <c r="BL28" i="19" a="1"/>
  <c r="BL42" i="19" a="1"/>
  <c r="BL22" i="19" a="1"/>
  <c r="BK41" i="19" a="1"/>
  <c r="BK38" i="19" a="1"/>
  <c r="BL19" i="19" a="1"/>
  <c r="BK40" i="19" a="1"/>
  <c r="BL41" i="19" a="1"/>
  <c r="BL15" i="19" a="1"/>
  <c r="BL38" i="19" a="1"/>
  <c r="BK33" i="19" a="1"/>
  <c r="BK36" i="19" a="1"/>
  <c r="BK51" i="19" a="1"/>
  <c r="BK9" i="19" a="1"/>
  <c r="BK16" i="19" a="1"/>
  <c r="BL9" i="19" a="1"/>
  <c r="BL31" i="19" a="1"/>
  <c r="BK48" i="19" a="1"/>
  <c r="BL26" i="19" a="1"/>
  <c r="BL6" i="19" a="1"/>
  <c r="BK37" i="19" a="1"/>
  <c r="BL40" i="19" a="1"/>
  <c r="BL11" i="19" a="1"/>
  <c r="BL55" i="19" a="1"/>
  <c r="BL20" i="19" a="1"/>
  <c r="BL24" i="19" a="1"/>
  <c r="BK7" i="19" a="1"/>
  <c r="BL13" i="19" a="1"/>
  <c r="BL17" i="19" a="1"/>
  <c r="BK28" i="19" a="1"/>
  <c r="BK35" i="19" a="1"/>
  <c r="BK47" i="19" a="1"/>
  <c r="BK45" i="19" a="1"/>
  <c r="BK25" i="19" a="1"/>
  <c r="BL21" i="19" a="1"/>
  <c r="BK46" i="19" a="1"/>
  <c r="BK18" i="19" a="1"/>
  <c r="BL46" i="19" a="1"/>
  <c r="BK11" i="19" a="1"/>
  <c r="BL35" i="19" a="1"/>
  <c r="BK32" i="19" a="1"/>
  <c r="BL47" i="19" a="1"/>
  <c r="BK6" i="19" a="1"/>
  <c r="BL29" i="19" a="1"/>
  <c r="BL37" i="19" a="1"/>
  <c r="BK53" i="19" a="1"/>
  <c r="BK13" i="19" a="1"/>
  <c r="BL52" i="19" a="1"/>
  <c r="BK49" i="19" a="1"/>
  <c r="BK39" i="19" a="1"/>
  <c r="BK23" i="19" a="1"/>
  <c r="BL8" i="19" a="1"/>
  <c r="BK5" i="19" a="1"/>
  <c r="BL10" i="19" a="1"/>
  <c r="BK34" i="19" a="1"/>
  <c r="BK22" i="19" a="1"/>
  <c r="BL33" i="19" a="1"/>
  <c r="BL43" i="19" a="1"/>
  <c r="BL53" i="19" a="1"/>
  <c r="BK19" i="19" a="1"/>
  <c r="BL54" i="19" a="1"/>
  <c r="BK52" i="19" a="1"/>
  <c r="BK12" i="19" a="1"/>
  <c r="BK15" i="19" a="1"/>
  <c r="BL7" i="19" a="1"/>
  <c r="BL45" i="19" a="1"/>
  <c r="BK27" i="19" a="1"/>
  <c r="BL30" i="19" a="1"/>
  <c r="BK29" i="19" a="1"/>
  <c r="BL34" i="19" a="1"/>
  <c r="BK20" i="19" a="1"/>
  <c r="BL5" i="19" a="1"/>
  <c r="BK24" i="19" a="1"/>
  <c r="BL12" i="19" a="1"/>
  <c r="BK8" i="19" a="1"/>
  <c r="BK44" i="19" a="1"/>
  <c r="BK14" i="19" a="1"/>
  <c r="BK43" i="19" a="1"/>
  <c r="BL32" i="19" a="1"/>
  <c r="BK31" i="19" a="1"/>
  <c r="BL48" i="19" a="1"/>
  <c r="BK55" i="19" a="1"/>
  <c r="BL25" i="19" a="1"/>
  <c r="BK54" i="19" a="1"/>
  <c r="BK21" i="19" a="1"/>
  <c r="BK42" i="19" a="1"/>
  <c r="BK10" i="19" a="1"/>
  <c r="D30" i="19" l="1"/>
  <c r="E23" i="19"/>
  <c r="D23" i="19" s="1"/>
  <c r="BL24" i="19"/>
  <c r="BL54" i="19"/>
  <c r="BK33" i="19"/>
  <c r="BL46" i="19"/>
  <c r="BL12" i="19"/>
  <c r="BK19" i="19"/>
  <c r="BL38" i="19"/>
  <c r="BK21" i="19"/>
  <c r="BL20" i="19"/>
  <c r="BL53" i="19"/>
  <c r="BL15" i="19"/>
  <c r="BK18" i="19"/>
  <c r="BK24" i="19"/>
  <c r="BL43" i="19"/>
  <c r="BL41" i="19"/>
  <c r="BK54" i="19"/>
  <c r="BL55" i="19"/>
  <c r="BL33" i="19"/>
  <c r="BK40" i="19"/>
  <c r="BK46" i="19"/>
  <c r="BL5" i="19"/>
  <c r="BK22" i="19"/>
  <c r="BL19" i="19"/>
  <c r="BL25" i="19"/>
  <c r="BL11" i="19"/>
  <c r="BK34" i="19"/>
  <c r="BK38" i="19"/>
  <c r="BL21" i="19"/>
  <c r="BK20" i="19"/>
  <c r="BL10" i="19"/>
  <c r="BK41" i="19"/>
  <c r="BK55" i="19"/>
  <c r="BL40" i="19"/>
  <c r="BK5" i="19"/>
  <c r="BL22" i="19"/>
  <c r="BK25" i="19"/>
  <c r="BL34" i="19"/>
  <c r="BL8" i="19"/>
  <c r="BL42" i="19"/>
  <c r="BL48" i="19"/>
  <c r="BK37" i="19"/>
  <c r="BK23" i="19"/>
  <c r="BL28" i="19"/>
  <c r="BK45" i="19"/>
  <c r="BK29" i="19"/>
  <c r="BK39" i="19"/>
  <c r="BL14" i="19"/>
  <c r="BK31" i="19"/>
  <c r="BL6" i="19"/>
  <c r="BK49" i="19"/>
  <c r="BK17" i="19"/>
  <c r="BK47" i="19"/>
  <c r="BL30" i="19"/>
  <c r="BL52" i="19"/>
  <c r="BL44" i="19"/>
  <c r="BL32" i="19"/>
  <c r="BL26" i="19"/>
  <c r="BK13" i="19"/>
  <c r="BL16" i="19"/>
  <c r="BK35" i="19"/>
  <c r="BK27" i="19"/>
  <c r="BK53" i="19"/>
  <c r="BL18" i="19"/>
  <c r="BK43" i="19"/>
  <c r="BK48" i="19"/>
  <c r="BL37" i="19"/>
  <c r="BL23" i="19"/>
  <c r="BK28" i="19"/>
  <c r="BL45" i="19"/>
  <c r="BL29" i="19"/>
  <c r="BL39" i="19"/>
  <c r="BK14" i="19"/>
  <c r="BL31" i="19"/>
  <c r="BK6" i="19"/>
  <c r="BL49" i="19"/>
  <c r="BL17" i="19"/>
  <c r="BL9" i="19"/>
  <c r="BL47" i="19"/>
  <c r="BK30" i="19"/>
  <c r="BK44" i="19"/>
  <c r="BL7" i="19"/>
  <c r="BK32" i="19"/>
  <c r="BK26" i="19"/>
  <c r="BL13" i="19"/>
  <c r="BK16" i="19"/>
  <c r="BL35" i="19"/>
  <c r="BL27" i="19"/>
  <c r="E35" i="19"/>
  <c r="D35" i="19" s="1"/>
  <c r="BK36" i="19"/>
  <c r="BK42" i="19"/>
  <c r="BK52" i="19"/>
  <c r="BK15" i="19"/>
  <c r="BK7" i="19"/>
  <c r="BK11" i="19"/>
  <c r="BK10" i="19"/>
  <c r="BK9" i="19"/>
  <c r="BK12" i="19"/>
  <c r="BK8" i="19"/>
  <c r="BK51" i="19"/>
  <c r="D32" i="2"/>
  <c r="D31" i="2"/>
  <c r="D26" i="2"/>
  <c r="D25" i="2"/>
  <c r="BG4" i="2"/>
  <c r="BE58" i="2"/>
  <c r="BE57" i="2"/>
  <c r="BE56" i="2"/>
  <c r="BE55" i="2"/>
  <c r="BE54" i="2"/>
  <c r="BE53" i="2"/>
  <c r="BE52" i="2"/>
  <c r="BE51" i="2"/>
  <c r="BE50" i="2"/>
  <c r="BE49" i="2"/>
  <c r="BE48" i="2"/>
  <c r="BE47" i="2"/>
  <c r="BE46" i="2"/>
  <c r="BE45" i="2"/>
  <c r="BE44" i="2"/>
  <c r="BE43" i="2"/>
  <c r="BE42" i="2"/>
  <c r="BE41" i="2"/>
  <c r="BE40" i="2"/>
  <c r="BE39" i="2"/>
  <c r="BE38" i="2"/>
  <c r="BE37" i="2"/>
  <c r="BE36" i="2"/>
  <c r="BE35" i="2"/>
  <c r="BE34" i="2"/>
  <c r="BE33" i="2"/>
  <c r="BE32" i="2"/>
  <c r="BE31" i="2"/>
  <c r="BE30" i="2"/>
  <c r="BE29" i="2"/>
  <c r="BE28" i="2"/>
  <c r="BE27" i="2"/>
  <c r="BE26" i="2"/>
  <c r="BE25" i="2"/>
  <c r="BE24" i="2"/>
  <c r="BE23" i="2"/>
  <c r="BE22" i="2"/>
  <c r="BE21" i="2"/>
  <c r="BE20" i="2"/>
  <c r="BE19" i="2"/>
  <c r="BE18" i="2"/>
  <c r="BE17" i="2"/>
  <c r="BE16" i="2"/>
  <c r="BE15" i="2"/>
  <c r="BE14" i="2"/>
  <c r="BE13" i="2"/>
  <c r="BE12" i="2"/>
  <c r="BE11" i="2"/>
  <c r="BE10" i="2"/>
  <c r="BE9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D2" i="2"/>
  <c r="BN9" i="2"/>
  <c r="BM9" i="2" s="1"/>
  <c r="BN10" i="2"/>
  <c r="BN11" i="2"/>
  <c r="BN63" i="2"/>
  <c r="BO63" i="2"/>
  <c r="BN59" i="2"/>
  <c r="BO59" i="2"/>
  <c r="BN60" i="2"/>
  <c r="BO60" i="2"/>
  <c r="BN61" i="2"/>
  <c r="BO61" i="2"/>
  <c r="BN62" i="2"/>
  <c r="BO62" i="2"/>
  <c r="BO11" i="2"/>
  <c r="BN13" i="2"/>
  <c r="BO13" i="2"/>
  <c r="BO15" i="2"/>
  <c r="BN17" i="2"/>
  <c r="BO17" i="2"/>
  <c r="BO19" i="2"/>
  <c r="BN21" i="2"/>
  <c r="BO21" i="2"/>
  <c r="BO23" i="2"/>
  <c r="BN25" i="2"/>
  <c r="BO25" i="2"/>
  <c r="BO27" i="2"/>
  <c r="BN29" i="2"/>
  <c r="BO29" i="2"/>
  <c r="BO31" i="2"/>
  <c r="BN33" i="2"/>
  <c r="BO33" i="2"/>
  <c r="BO35" i="2"/>
  <c r="BN37" i="2"/>
  <c r="BO37" i="2"/>
  <c r="BO39" i="2"/>
  <c r="BN41" i="2"/>
  <c r="BO41" i="2"/>
  <c r="BO43" i="2"/>
  <c r="BN45" i="2"/>
  <c r="BO45" i="2"/>
  <c r="BO47" i="2"/>
  <c r="BN49" i="2"/>
  <c r="BO49" i="2"/>
  <c r="BO51" i="2"/>
  <c r="BN53" i="2"/>
  <c r="BO53" i="2"/>
  <c r="BO55" i="2"/>
  <c r="BN57" i="2"/>
  <c r="BO57" i="2"/>
  <c r="BO9" i="2"/>
  <c r="R60" i="17"/>
  <c r="Q60" i="17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P40" i="17"/>
  <c r="P38" i="17"/>
  <c r="P37" i="17"/>
  <c r="P35" i="17"/>
  <c r="P34" i="17"/>
  <c r="P32" i="17"/>
  <c r="P31" i="17"/>
  <c r="P27" i="17"/>
  <c r="P15" i="17"/>
  <c r="P6" i="17"/>
  <c r="N7" i="17"/>
  <c r="N8" i="17" s="1"/>
  <c r="N9" i="17" s="1"/>
  <c r="H7" i="17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N58" i="2"/>
  <c r="BN56" i="2"/>
  <c r="BN55" i="2"/>
  <c r="BN54" i="2"/>
  <c r="BN52" i="2"/>
  <c r="BN51" i="2"/>
  <c r="BN50" i="2"/>
  <c r="BN48" i="2"/>
  <c r="BN47" i="2"/>
  <c r="BN46" i="2"/>
  <c r="BN44" i="2"/>
  <c r="BN43" i="2"/>
  <c r="BN42" i="2"/>
  <c r="BN40" i="2"/>
  <c r="BN39" i="2"/>
  <c r="BN38" i="2"/>
  <c r="BN36" i="2"/>
  <c r="BN35" i="2"/>
  <c r="BN34" i="2"/>
  <c r="BN32" i="2"/>
  <c r="BN31" i="2"/>
  <c r="BN30" i="2"/>
  <c r="BN28" i="2"/>
  <c r="BN27" i="2"/>
  <c r="BN26" i="2"/>
  <c r="BN24" i="2"/>
  <c r="BN23" i="2"/>
  <c r="BN22" i="2"/>
  <c r="BN20" i="2"/>
  <c r="BN19" i="2"/>
  <c r="BN18" i="2"/>
  <c r="BN16" i="2"/>
  <c r="BN15" i="2"/>
  <c r="BN14" i="2"/>
  <c r="BN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AN4" i="15" a="1"/>
  <c r="P4" i="15" a="1"/>
  <c r="AD6" i="15" a="1"/>
  <c r="AF5" i="15" a="1"/>
  <c r="AA5" i="15" a="1"/>
  <c r="AD4" i="15" a="1"/>
  <c r="H5" i="15" a="1"/>
  <c r="AS4" i="15" a="1"/>
  <c r="T6" i="15" a="1"/>
  <c r="R6" i="15" a="1"/>
  <c r="U6" i="15" a="1"/>
  <c r="M4" i="15" a="1"/>
  <c r="D6" i="15" a="1"/>
  <c r="O5" i="15" a="1"/>
  <c r="AG6" i="15" a="1"/>
  <c r="AA6" i="15" a="1"/>
  <c r="G6" i="15" a="1"/>
  <c r="AN5" i="15" a="1"/>
  <c r="S6" i="15" a="1"/>
  <c r="AR5" i="15" a="1"/>
  <c r="AL4" i="15" a="1"/>
  <c r="X6" i="15" a="1"/>
  <c r="N4" i="15" a="1"/>
  <c r="AP4" i="15" a="1"/>
  <c r="AS5" i="15" a="1"/>
  <c r="AE5" i="15" a="1"/>
  <c r="P6" i="15" a="1"/>
  <c r="G5" i="15" a="1"/>
  <c r="AK6" i="15" a="1"/>
  <c r="P5" i="15" a="1"/>
  <c r="O4" i="15" a="1"/>
  <c r="H6" i="15" a="1"/>
  <c r="AK4" i="15" a="1"/>
  <c r="F4" i="15" a="1"/>
  <c r="AM5" i="15" a="1"/>
  <c r="F5" i="15" a="1"/>
  <c r="AA4" i="15" a="1"/>
  <c r="AP6" i="15" a="1"/>
  <c r="G4" i="15" a="1"/>
  <c r="M6" i="15" a="1"/>
  <c r="E5" i="15" a="1"/>
  <c r="AI6" i="15" a="1"/>
  <c r="AQ6" i="15" a="1"/>
  <c r="T5" i="15" a="1"/>
  <c r="AJ4" i="15" a="1"/>
  <c r="AB5" i="15" a="1"/>
  <c r="Y5" i="15" a="1"/>
  <c r="Q6" i="15" a="1"/>
  <c r="M5" i="15" a="1"/>
  <c r="AP5" i="15" a="1"/>
  <c r="F6" i="15" a="1"/>
  <c r="Y6" i="15" a="1"/>
  <c r="W4" i="15" a="1"/>
  <c r="AL6" i="15" a="1"/>
  <c r="AS6" i="15" a="1"/>
  <c r="I6" i="15" a="1"/>
  <c r="R5" i="15" a="1"/>
  <c r="AO6" i="15" a="1"/>
  <c r="L6" i="15" a="1"/>
  <c r="AF4" i="15" a="1"/>
  <c r="AH4" i="15" a="1"/>
  <c r="R4" i="15" a="1"/>
  <c r="AO4" i="15" a="1"/>
  <c r="N6" i="15" a="1"/>
  <c r="U4" i="15" a="1"/>
  <c r="Q4" i="15" a="1"/>
  <c r="J5" i="15" a="1"/>
  <c r="E4" i="15" a="1"/>
  <c r="AJ5" i="15" a="1"/>
  <c r="AM6" i="15" a="1"/>
  <c r="X4" i="15" a="1"/>
  <c r="AD5" i="15" a="1"/>
  <c r="AG4" i="15" a="1"/>
  <c r="L5" i="15" a="1"/>
  <c r="D4" i="15" a="1"/>
  <c r="Q5" i="15" a="1"/>
  <c r="AF6" i="15" a="1"/>
  <c r="AB6" i="15" a="1"/>
  <c r="Z6" i="15" a="1"/>
  <c r="V5" i="15" a="1"/>
  <c r="K5" i="15" a="1"/>
  <c r="AH5" i="15" a="1"/>
  <c r="N5" i="15" a="1"/>
  <c r="AC5" i="15" a="1"/>
  <c r="AQ5" i="15" a="1"/>
  <c r="W5" i="15" a="1"/>
  <c r="AK5" i="15" a="1"/>
  <c r="AH6" i="15" a="1"/>
  <c r="H4" i="15" a="1"/>
  <c r="K4" i="15" a="1"/>
  <c r="V6" i="15" a="1"/>
  <c r="S5" i="15" a="1"/>
  <c r="D5" i="15" a="1"/>
  <c r="AO5" i="15" a="1"/>
  <c r="AN6" i="15" a="1"/>
  <c r="AR6" i="15" a="1"/>
  <c r="X5" i="15" a="1"/>
  <c r="Y4" i="15" a="1"/>
  <c r="AM4" i="15" a="1"/>
  <c r="Z5" i="15" a="1"/>
  <c r="AC4" i="15" a="1"/>
  <c r="Z4" i="15" a="1"/>
  <c r="AB4" i="15" a="1"/>
  <c r="AR4" i="15" a="1"/>
  <c r="S4" i="15" a="1"/>
  <c r="AC6" i="15" a="1"/>
  <c r="L4" i="15" a="1"/>
  <c r="AE4" i="15" a="1"/>
  <c r="W6" i="15" a="1"/>
  <c r="AI4" i="15" a="1"/>
  <c r="U5" i="15" a="1"/>
  <c r="V4" i="15" a="1"/>
  <c r="E6" i="15" a="1"/>
  <c r="J4" i="15" a="1"/>
  <c r="I4" i="15" a="1"/>
  <c r="AJ6" i="15" a="1"/>
  <c r="J6" i="15" a="1"/>
  <c r="T4" i="15" a="1"/>
  <c r="AQ4" i="15" a="1"/>
  <c r="AI5" i="15" a="1"/>
  <c r="AG5" i="15" a="1"/>
  <c r="K6" i="15" a="1"/>
  <c r="I5" i="15" a="1"/>
  <c r="AE6" i="15" a="1"/>
  <c r="O6" i="15" a="1"/>
  <c r="AL5" i="15" a="1"/>
  <c r="B37" i="19" l="1"/>
  <c r="R6" i="17" a="1"/>
  <c r="R6" i="17" s="1"/>
  <c r="Q6" i="17" a="1"/>
  <c r="Q6" i="17" s="1"/>
  <c r="Q32" i="17" a="1"/>
  <c r="Q32" i="17" s="1"/>
  <c r="R32" i="17" a="1"/>
  <c r="R32" i="17" s="1"/>
  <c r="Q38" i="17" a="1"/>
  <c r="Q38" i="17" s="1"/>
  <c r="R38" i="17" a="1"/>
  <c r="R38" i="17" s="1"/>
  <c r="R15" i="17" a="1"/>
  <c r="R15" i="17" s="1"/>
  <c r="Q15" i="17" a="1"/>
  <c r="Q15" i="17" s="1"/>
  <c r="R34" i="17" a="1"/>
  <c r="R34" i="17" s="1"/>
  <c r="Q34" i="17" a="1"/>
  <c r="Q34" i="17" s="1"/>
  <c r="Q40" i="17" a="1"/>
  <c r="Q40" i="17" s="1"/>
  <c r="R40" i="17" a="1"/>
  <c r="R40" i="17" s="1"/>
  <c r="R27" i="17" a="1"/>
  <c r="R27" i="17" s="1"/>
  <c r="Q27" i="17" a="1"/>
  <c r="Q27" i="17" s="1"/>
  <c r="R35" i="17" a="1"/>
  <c r="R35" i="17" s="1"/>
  <c r="Q35" i="17" a="1"/>
  <c r="Q35" i="17" s="1"/>
  <c r="N10" i="17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R31" i="17" a="1"/>
  <c r="R31" i="17" s="1"/>
  <c r="Q31" i="17" a="1"/>
  <c r="Q31" i="17" s="1"/>
  <c r="R37" i="17" a="1"/>
  <c r="R37" i="17" s="1"/>
  <c r="Q37" i="17" a="1"/>
  <c r="Q37" i="17" s="1"/>
  <c r="BO58" i="2"/>
  <c r="BO56" i="2"/>
  <c r="BO54" i="2"/>
  <c r="BO52" i="2"/>
  <c r="BO50" i="2"/>
  <c r="BO48" i="2"/>
  <c r="BO46" i="2"/>
  <c r="BO44" i="2"/>
  <c r="BO42" i="2"/>
  <c r="BO40" i="2"/>
  <c r="BO38" i="2"/>
  <c r="BO36" i="2"/>
  <c r="BO34" i="2"/>
  <c r="BO32" i="2"/>
  <c r="BO30" i="2"/>
  <c r="BO28" i="2"/>
  <c r="BO26" i="2"/>
  <c r="BO24" i="2"/>
  <c r="BO22" i="2"/>
  <c r="BO20" i="2"/>
  <c r="BO18" i="2"/>
  <c r="BO16" i="2"/>
  <c r="BO14" i="2"/>
  <c r="BO12" i="2"/>
  <c r="BO10" i="2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J9" i="15" s="1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D32" i="15" l="1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U15" i="17" l="1"/>
  <c r="T15" i="17" s="1"/>
  <c r="U16" i="17"/>
  <c r="T16" i="17" s="1"/>
  <c r="U7" i="17"/>
  <c r="U12" i="17"/>
  <c r="T12" i="17" s="1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AC7" i="17" l="1"/>
  <c r="T7" i="17"/>
  <c r="V2" i="17"/>
  <c r="U8" i="17"/>
  <c r="T8" i="17" s="1"/>
  <c r="U11" i="17"/>
  <c r="T11" i="17" s="1"/>
  <c r="V1" i="17"/>
  <c r="AA1" i="17" s="1"/>
  <c r="X14" i="17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X10" i="17" l="1"/>
  <c r="X6" i="17"/>
  <c r="AB8" i="17"/>
  <c r="C32" i="15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B31" i="19"/>
  <c r="BO4" i="19" l="1"/>
  <c r="D29" i="19"/>
  <c r="AO24" i="19"/>
  <c r="AP23" i="19" s="1"/>
  <c r="D24" i="19" l="1"/>
  <c r="B25" i="19"/>
  <c r="AT10" i="13"/>
  <c r="AU9" i="13"/>
  <c r="AT9" i="13"/>
  <c r="AT9" i="11"/>
  <c r="AU9" i="11"/>
  <c r="AT1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<sst xmlns="http://schemas.openxmlformats.org/spreadsheetml/2006/main" count="4073" uniqueCount="945">
  <si>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</si>
  <si>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</si>
  <si>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</si>
  <si>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</si>
  <si>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</si>
  <si>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</si>
  <si>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</si>
  <si>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</si>
  <si>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</si>
  <si>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</si>
  <si>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</si>
  <si>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</si>
  <si>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</si>
  <si>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</si>
  <si>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</si>
  <si>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</si>
  <si>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</si>
  <si>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</si>
  <si>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</si>
  <si>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</si>
  <si>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</si>
  <si>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</si>
  <si>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</si>
  <si>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</si>
  <si>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</si>
  <si>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</si>
  <si>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</si>
  <si>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</si>
  <si>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</si>
  <si>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</si>
  <si>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</si>
  <si>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</si>
  <si>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</si>
  <si>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</si>
  <si>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</si>
  <si>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</si>
  <si>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</si>
  <si>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</si>
  <si>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</si>
  <si>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</si>
  <si>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</si>
  <si>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</si>
  <si>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</si>
  <si>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</si>
  <si>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</si>
  <si>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</si>
  <si>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</si>
  <si>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</si>
  <si>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</si>
  <si>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</si>
  <si>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</si>
  <si>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</si>
  <si>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</si>
  <si>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</si>
  <si>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</si>
  <si>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</si>
  <si>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</si>
  <si>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</si>
  <si>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</si>
  <si>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</si>
  <si>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</si>
  <si>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</si>
  <si>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</si>
  <si>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</si>
  <si>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</si>
  <si>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</si>
  <si>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</si>
  <si>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</si>
  <si>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</si>
  <si>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</si>
  <si>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</si>
  <si>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</si>
  <si>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</si>
  <si>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</si>
  <si>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</si>
  <si>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</si>
  <si>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</si>
  <si>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</si>
  <si>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</si>
  <si>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</si>
  <si>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</si>
  <si>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</si>
  <si>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</si>
  <si>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</si>
  <si>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</si>
  <si>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</si>
  <si>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</si>
  <si>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</si>
  <si>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</si>
  <si>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</si>
  <si>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</si>
  <si>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</si>
  <si>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</si>
  <si>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</si>
  <si>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</si>
  <si>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</si>
  <si>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</si>
  <si>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</si>
  <si>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</si>
  <si>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</si>
  <si>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</si>
  <si>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</si>
  <si>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</si>
  <si>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</si>
  <si>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</si>
  <si>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</si>
  <si>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</si>
  <si>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</si>
  <si>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</si>
  <si>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</si>
  <si>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</si>
  <si>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</si>
  <si>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</si>
  <si>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</si>
  <si>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</si>
  <si>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</si>
  <si>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</si>
  <si>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</si>
  <si>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</si>
  <si>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</si>
  <si>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</si>
  <si>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</si>
  <si>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</si>
  <si>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</si>
  <si>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</si>
  <si>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</si>
  <si>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</si>
  <si>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</si>
  <si>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</si>
  <si>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</si>
  <si>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</si>
  <si>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</si>
  <si>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</si>
  <si>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</si>
  <si>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</si>
  <si>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</si>
  <si>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</si>
  <si>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</si>
  <si>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</si>
  <si>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</si>
  <si>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</si>
  <si>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</si>
  <si>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</si>
  <si>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</si>
  <si>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</si>
  <si>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</si>
  <si>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</si>
  <si>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</si>
  <si>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</si>
  <si>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</si>
  <si>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</si>
  <si>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</si>
  <si>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</si>
  <si>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</si>
  <si>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</si>
  <si>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</si>
  <si>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</si>
  <si>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</si>
  <si>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</si>
  <si>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</si>
  <si>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</si>
  <si>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</si>
  <si>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</si>
  <si>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</si>
  <si>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</si>
  <si>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</si>
  <si>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</si>
  <si>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</si>
  <si>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</si>
  <si>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</si>
  <si>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</si>
  <si>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</si>
  <si>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</si>
  <si>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</si>
  <si>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</si>
  <si>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</si>
  <si>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</si>
  <si>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</si>
  <si>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</si>
  <si>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</si>
  <si>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</si>
  <si>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</si>
  <si>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</si>
  <si>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</si>
  <si>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</si>
  <si>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</si>
  <si>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</si>
  <si>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</si>
  <si>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</si>
  <si>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</si>
  <si>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</si>
  <si>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p</t>
    <phoneticPr fontId="3" type="noConversion"/>
  </si>
  <si>
    <t>t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</si>
  <si>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</si>
  <si>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</si>
  <si>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</si>
  <si>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?</t>
    <phoneticPr fontId="3" type="noConversion"/>
  </si>
  <si>
    <t>（無）</t>
    <phoneticPr fontId="3" type="noConversion"/>
  </si>
  <si>
    <t>ㄒ</t>
    <phoneticPr fontId="3" type="noConversion"/>
  </si>
  <si>
    <t>ㄫ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</si>
  <si>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</si>
  <si>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</si>
  <si>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</si>
  <si>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</si>
  <si>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</si>
  <si>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</si>
  <si>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</si>
  <si>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</si>
  <si>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</si>
  <si>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</si>
  <si>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</si>
  <si>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</si>
  <si>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</si>
  <si>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</si>
  <si>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</si>
  <si>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</si>
  <si>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</si>
  <si>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</si>
  <si>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</si>
  <si>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</si>
  <si>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</si>
  <si>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</si>
  <si>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</si>
  <si>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</si>
  <si>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</si>
  <si>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</si>
  <si>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</si>
  <si>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</si>
  <si>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</si>
  <si>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</si>
  <si>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</si>
  <si>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</si>
  <si>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</si>
  <si>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</si>
  <si>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</si>
  <si>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</si>
  <si>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</si>
  <si>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</si>
  <si>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</si>
  <si>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</si>
  <si>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</si>
  <si>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</si>
  <si>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</si>
  <si>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</si>
  <si>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</si>
  <si>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</si>
  <si>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</si>
  <si>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</si>
  <si>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</si>
  <si>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</si>
  <si>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</si>
  <si>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</si>
  <si>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</si>
  <si>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</si>
  <si>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</si>
  <si>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</si>
  <si>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</si>
  <si>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</si>
  <si>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</si>
  <si>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</si>
  <si>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</si>
  <si>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</si>
  <si>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</si>
  <si>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</si>
  <si>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</si>
  <si>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</si>
  <si>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</si>
  <si>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</si>
  <si>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</si>
  <si>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</si>
  <si>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</si>
  <si>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</si>
  <si>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</si>
  <si>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</si>
  <si>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</si>
  <si>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</si>
  <si>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</si>
  <si>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</si>
  <si>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</si>
  <si>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63" type="noConversion"/>
  </si>
  <si>
    <t>N</t>
    <phoneticPr fontId="63" type="noConversion"/>
  </si>
  <si>
    <t>w</t>
    <phoneticPr fontId="63" type="noConversion"/>
  </si>
  <si>
    <t>W</t>
    <phoneticPr fontId="63" type="noConversion"/>
  </si>
  <si>
    <t>r</t>
    <phoneticPr fontId="63" type="noConversion"/>
  </si>
  <si>
    <t>No</t>
  </si>
  <si>
    <t>Ne</t>
  </si>
  <si>
    <t>Nu</t>
  </si>
  <si>
    <t>Ni</t>
  </si>
  <si>
    <t>Na</t>
  </si>
  <si>
    <t>按鍵編碼</t>
    <phoneticPr fontId="63" type="noConversion"/>
  </si>
  <si>
    <t>拼音字母</t>
    <phoneticPr fontId="63" type="noConversion"/>
  </si>
  <si>
    <t>ㄝ</t>
    <phoneticPr fontId="63" type="noConversion"/>
  </si>
  <si>
    <t>方音符號</t>
    <phoneticPr fontId="6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</si>
  <si>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</si>
  <si>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</si>
  <si>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</si>
  <si>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</si>
  <si>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</si>
  <si>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</si>
  <si>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</si>
  <si>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</si>
  <si>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</si>
  <si>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</si>
  <si>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</si>
  <si>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</si>
  <si>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</si>
  <si>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</si>
  <si>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</si>
  <si>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</si>
  <si>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</si>
  <si>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</si>
  <si>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63" type="noConversion"/>
  </si>
  <si>
    <t>l</t>
    <phoneticPr fontId="63" type="noConversion"/>
  </si>
  <si>
    <t>n</t>
    <phoneticPr fontId="63" type="noConversion"/>
  </si>
  <si>
    <t>m</t>
    <phoneticPr fontId="63" type="noConversion"/>
  </si>
  <si>
    <t>b</t>
    <phoneticPr fontId="63" type="noConversion"/>
  </si>
  <si>
    <t>聲母 (21)</t>
  </si>
  <si>
    <t>/ ?</t>
    <phoneticPr fontId="63" type="noConversion"/>
  </si>
  <si>
    <t>. &gt;</t>
    <phoneticPr fontId="63" type="noConversion"/>
  </si>
  <si>
    <t>, &lt;</t>
    <phoneticPr fontId="63" type="noConversion"/>
  </si>
  <si>
    <t>M</t>
    <phoneticPr fontId="63" type="noConversion"/>
  </si>
  <si>
    <t>B</t>
    <phoneticPr fontId="63" type="noConversion"/>
  </si>
  <si>
    <t>V</t>
    <phoneticPr fontId="63" type="noConversion"/>
  </si>
  <si>
    <t>C</t>
    <phoneticPr fontId="63" type="noConversion"/>
  </si>
  <si>
    <t>X</t>
    <phoneticPr fontId="63" type="noConversion"/>
  </si>
  <si>
    <t>Z</t>
    <phoneticPr fontId="63" type="noConversion"/>
  </si>
  <si>
    <t>Ｚ</t>
    <phoneticPr fontId="63" type="noConversion"/>
  </si>
  <si>
    <t>入聲調 （促音）</t>
    <phoneticPr fontId="63" type="noConversion"/>
  </si>
  <si>
    <t>; :</t>
    <phoneticPr fontId="63" type="noConversion"/>
  </si>
  <si>
    <t>L</t>
    <phoneticPr fontId="63" type="noConversion"/>
  </si>
  <si>
    <t>K</t>
    <phoneticPr fontId="63" type="noConversion"/>
  </si>
  <si>
    <t>J</t>
    <phoneticPr fontId="63" type="noConversion"/>
  </si>
  <si>
    <t>H</t>
    <phoneticPr fontId="63" type="noConversion"/>
  </si>
  <si>
    <t>G</t>
    <phoneticPr fontId="63" type="noConversion"/>
  </si>
  <si>
    <t>F</t>
    <phoneticPr fontId="63" type="noConversion"/>
  </si>
  <si>
    <t>D</t>
    <phoneticPr fontId="63" type="noConversion"/>
  </si>
  <si>
    <t>S</t>
    <phoneticPr fontId="63" type="noConversion"/>
  </si>
  <si>
    <t>A</t>
    <phoneticPr fontId="63" type="noConversion"/>
  </si>
  <si>
    <t>O</t>
    <phoneticPr fontId="63" type="noConversion"/>
  </si>
  <si>
    <t>次濁聲 （鼻音）</t>
    <phoneticPr fontId="63" type="noConversion"/>
  </si>
  <si>
    <t>P</t>
    <phoneticPr fontId="63" type="noConversion"/>
  </si>
  <si>
    <t>I</t>
    <phoneticPr fontId="63" type="noConversion"/>
  </si>
  <si>
    <t>U</t>
    <phoneticPr fontId="63" type="noConversion"/>
  </si>
  <si>
    <t>Y</t>
    <phoneticPr fontId="63" type="noConversion"/>
  </si>
  <si>
    <t>T</t>
    <phoneticPr fontId="63" type="noConversion"/>
  </si>
  <si>
    <t>R</t>
    <phoneticPr fontId="63" type="noConversion"/>
  </si>
  <si>
    <t>E</t>
    <phoneticPr fontId="63" type="noConversion"/>
  </si>
  <si>
    <t>Q</t>
    <phoneticPr fontId="63" type="noConversion"/>
  </si>
  <si>
    <t>濁聲 （喉音）</t>
    <phoneticPr fontId="63" type="noConversion"/>
  </si>
  <si>
    <t>˫(陽去)</t>
    <phoneticPr fontId="6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</si>
  <si>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6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</si>
  <si>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6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</si>
  <si>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63" type="noConversion"/>
  </si>
  <si>
    <t>鍵盤位置</t>
    <phoneticPr fontId="6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</si>
  <si>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6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</si>
  <si>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</si>
  <si>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</si>
  <si>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</si>
  <si>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</si>
  <si>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</si>
  <si>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</si>
  <si>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</si>
  <si>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</si>
  <si>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</si>
  <si>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</si>
  <si>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</si>
  <si>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</si>
  <si>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</si>
  <si>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</si>
  <si>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</si>
  <si>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</si>
  <si>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</si>
  <si>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</si>
  <si>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</si>
  <si>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</si>
  <si>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</si>
  <si>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</si>
  <si>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</si>
  <si>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</si>
  <si>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</si>
  <si>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</si>
  <si>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</si>
  <si>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</si>
  <si>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</si>
  <si>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</si>
  <si>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</si>
  <si>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</si>
  <si>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</si>
  <si>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</si>
  <si>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</si>
  <si>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</si>
  <si>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</si>
  <si>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</si>
  <si>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</si>
  <si>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</si>
  <si>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</si>
  <si>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</si>
  <si>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</si>
  <si>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</si>
  <si>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</si>
  <si>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</si>
  <si>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</si>
  <si>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</si>
  <si>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</si>
  <si>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</si>
  <si>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</si>
  <si>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</si>
  <si>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</si>
  <si>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</si>
  <si>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</si>
  <si>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</si>
  <si>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</si>
  <si>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</si>
  <si>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</si>
  <si>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</si>
  <si>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</si>
  <si>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</si>
  <si>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</si>
  <si>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</si>
  <si>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</si>
  <si>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</si>
  <si>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</si>
  <si>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</si>
  <si>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</si>
  <si>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</si>
  <si>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</si>
  <si>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</si>
  <si>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</si>
  <si>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</si>
  <si>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</si>
  <si>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</si>
  <si>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</si>
  <si>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</si>
  <si>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</si>
  <si>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</si>
  <si>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</si>
  <si>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</si>
  <si>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</si>
  <si>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</si>
  <si>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</si>
  <si>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</si>
  <si>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</si>
  <si>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</si>
  <si>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</si>
  <si>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</si>
  <si>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</si>
  <si>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</si>
  <si>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</si>
  <si>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</si>
  <si>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</si>
  <si>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</si>
  <si>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</si>
  <si>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</si>
  <si>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</si>
  <si>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</si>
  <si>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</si>
  <si>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</si>
  <si>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</si>
  <si>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</si>
  <si>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</si>
  <si>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</si>
  <si>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</si>
  <si>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</si>
  <si>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</si>
  <si>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</si>
  <si>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</si>
  <si>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</si>
  <si>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</si>
  <si>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</si>
  <si>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</si>
  <si>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</si>
  <si>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</si>
  <si>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</si>
  <si>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</si>
  <si>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</si>
  <si>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</si>
  <si>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</si>
  <si>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</si>
  <si>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</si>
  <si>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</si>
  <si>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</si>
  <si>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</si>
  <si>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</si>
  <si>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</si>
  <si>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</si>
  <si>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</si>
  <si>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</si>
  <si>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</si>
  <si>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</si>
  <si>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</si>
  <si>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</si>
  <si>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</si>
  <si>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</si>
  <si>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</si>
  <si>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</si>
  <si>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</si>
  <si>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</si>
  <si>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</si>
  <si>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</si>
  <si>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</si>
  <si>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</si>
  <si>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</si>
  <si>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</si>
  <si>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</si>
  <si>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</si>
  <si>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</si>
  <si>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</si>
  <si>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</si>
  <si>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</si>
  <si>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</si>
  <si>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</si>
  <si>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</si>
  <si>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</si>
  <si>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</si>
  <si>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</si>
  <si>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</si>
  <si>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</si>
  <si>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</si>
  <si>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</si>
  <si>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</si>
  <si>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</si>
  <si>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02" type="noConversion"/>
  </si>
  <si>
    <t>comment_format</t>
    <phoneticPr fontId="102" type="noConversion"/>
  </si>
  <si>
    <t>preedit_format:</t>
    <phoneticPr fontId="102" type="noConversion"/>
  </si>
  <si>
    <t>Speller:</t>
    <phoneticPr fontId="102" type="noConversion"/>
  </si>
  <si>
    <t>拼音字母</t>
    <phoneticPr fontId="102" type="noConversion"/>
  </si>
  <si>
    <t>字典拼音</t>
    <phoneticPr fontId="102" type="noConversion"/>
  </si>
  <si>
    <t>鍵盤按鍵</t>
    <phoneticPr fontId="102" type="noConversion"/>
  </si>
  <si>
    <t>方音符號</t>
  </si>
  <si>
    <t>方音符號</t>
    <phoneticPr fontId="102" type="noConversion"/>
  </si>
  <si>
    <t>pPmbtTndkKhjJSgqzcCsiuBaoøMIeUYLDQGN123570</t>
  </si>
  <si>
    <t>1qaz2wsxedcrfvtgbyhnujm8ik,9ol.0p;/- 43657</t>
    <phoneticPr fontId="102" type="noConversion"/>
  </si>
  <si>
    <t>q</t>
    <phoneticPr fontId="102" type="noConversion"/>
  </si>
  <si>
    <t>a</t>
    <phoneticPr fontId="102" type="noConversion"/>
  </si>
  <si>
    <t>bN</t>
  </si>
  <si>
    <t>comment_format:</t>
    <phoneticPr fontId="102" type="noConversion"/>
  </si>
  <si>
    <t>z</t>
    <phoneticPr fontId="102" type="noConversion"/>
  </si>
  <si>
    <t>pPbtTdkKgcCzshiuaoøeIUBDGN</t>
    <phoneticPr fontId="102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</si>
  <si>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02" type="noConversion"/>
  </si>
  <si>
    <t>w</t>
    <phoneticPr fontId="102" type="noConversion"/>
  </si>
  <si>
    <t>s</t>
    <phoneticPr fontId="102" type="noConversion"/>
  </si>
  <si>
    <t>dN</t>
  </si>
  <si>
    <t>x</t>
    <phoneticPr fontId="102" type="noConversion"/>
  </si>
  <si>
    <t>e</t>
    <phoneticPr fontId="102" type="noConversion"/>
  </si>
  <si>
    <t>1qaz2wsxedcrfvtgbyhnujm8ik,9ol.0p;/-43657</t>
    <phoneticPr fontId="102" type="noConversion"/>
  </si>
  <si>
    <t>d</t>
    <phoneticPr fontId="102" type="noConversion"/>
  </si>
  <si>
    <t>c</t>
    <phoneticPr fontId="102" type="noConversion"/>
  </si>
  <si>
    <t>r</t>
    <phoneticPr fontId="102" type="noConversion"/>
  </si>
  <si>
    <t>ci</t>
    <phoneticPr fontId="102" type="noConversion"/>
  </si>
  <si>
    <t>ci</t>
  </si>
  <si>
    <t>[t͡ɕ]</t>
  </si>
  <si>
    <t>f</t>
    <phoneticPr fontId="102" type="noConversion"/>
  </si>
  <si>
    <t>chi</t>
    <phoneticPr fontId="102" type="noConversion"/>
  </si>
  <si>
    <t>Ci</t>
  </si>
  <si>
    <t>[t͡ɕʰ]</t>
  </si>
  <si>
    <t>v</t>
    <phoneticPr fontId="102" type="noConversion"/>
  </si>
  <si>
    <t>si</t>
  </si>
  <si>
    <t>[ɕ]</t>
  </si>
  <si>
    <t>t</t>
    <phoneticPr fontId="102" type="noConversion"/>
  </si>
  <si>
    <t>g</t>
    <phoneticPr fontId="102" type="noConversion"/>
  </si>
  <si>
    <t>gN</t>
  </si>
  <si>
    <t>b</t>
    <phoneticPr fontId="102" type="noConversion"/>
  </si>
  <si>
    <t>zi</t>
  </si>
  <si>
    <t>[d͡ʑ]</t>
  </si>
  <si>
    <t>y</t>
    <phoneticPr fontId="102" type="noConversion"/>
  </si>
  <si>
    <t>h</t>
    <phoneticPr fontId="102" type="noConversion"/>
  </si>
  <si>
    <t>ch</t>
    <phoneticPr fontId="102" type="noConversion"/>
  </si>
  <si>
    <t>n</t>
    <phoneticPr fontId="102" type="noConversion"/>
  </si>
  <si>
    <t>u</t>
    <phoneticPr fontId="102" type="noConversion"/>
  </si>
  <si>
    <t>j</t>
    <phoneticPr fontId="102" type="noConversion"/>
  </si>
  <si>
    <t>m</t>
    <phoneticPr fontId="102" type="noConversion"/>
  </si>
  <si>
    <t>ø</t>
  </si>
  <si>
    <t>i</t>
    <phoneticPr fontId="102" type="noConversion"/>
  </si>
  <si>
    <t>k</t>
    <phoneticPr fontId="102" type="noConversion"/>
  </si>
  <si>
    <t>[ai]</t>
  </si>
  <si>
    <t>o</t>
    <phoneticPr fontId="102" type="noConversion"/>
  </si>
  <si>
    <t>l</t>
    <phoneticPr fontId="102" type="noConversion"/>
  </si>
  <si>
    <t>[au]</t>
  </si>
  <si>
    <t>.</t>
  </si>
  <si>
    <t>.</t>
    <phoneticPr fontId="102" type="noConversion"/>
  </si>
  <si>
    <t>[ɔŋ]</t>
  </si>
  <si>
    <t>[an]</t>
  </si>
  <si>
    <t>p</t>
    <phoneticPr fontId="102" type="noConversion"/>
  </si>
  <si>
    <t>;</t>
    <phoneticPr fontId="102" type="noConversion"/>
  </si>
  <si>
    <t>[aŋ]</t>
  </si>
  <si>
    <t>/</t>
    <phoneticPr fontId="102" type="noConversion"/>
  </si>
  <si>
    <t>[əŋ]</t>
  </si>
  <si>
    <t>,</t>
    <phoneticPr fontId="102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</si>
  <si>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</si>
  <si>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</si>
  <si>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</si>
  <si>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</si>
  <si>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</si>
  <si>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</si>
  <si>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02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</si>
  <si>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</si>
  <si>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</si>
  <si>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</si>
  <si>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</si>
  <si>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</si>
  <si>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</si>
  <si>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</si>
  <si>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02" type="noConversion"/>
  </si>
  <si>
    <t>字典編碼</t>
    <phoneticPr fontId="6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</si>
  <si>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</si>
  <si>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</si>
  <si>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</si>
  <si>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</si>
  <si>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</si>
  <si>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</si>
  <si>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</si>
  <si>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</si>
  <si>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</si>
  <si>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</si>
  <si>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</si>
  <si>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</si>
  <si>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</si>
  <si>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</si>
  <si>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</si>
  <si>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</si>
  <si>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</si>
  <si>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</si>
  <si>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</si>
  <si>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</si>
  <si>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</si>
  <si>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</si>
  <si>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</si>
  <si>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</si>
  <si>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</si>
  <si>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</si>
  <si>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</si>
  <si>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</si>
  <si>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</si>
  <si>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</si>
  <si>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</si>
  <si>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</si>
  <si>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</si>
  <si>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</si>
  <si>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</si>
  <si>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</si>
  <si>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</si>
  <si>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</si>
  <si>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</si>
  <si>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</si>
  <si>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</si>
  <si>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</si>
  <si>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</si>
  <si>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</si>
  <si>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</si>
  <si>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</si>
  <si>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</si>
  <si>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</si>
  <si>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</si>
  <si>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</si>
  <si>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</si>
  <si>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</si>
  <si>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</si>
  <si>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</si>
  <si>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</si>
  <si>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</si>
  <si>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</si>
  <si>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</si>
  <si>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</si>
  <si>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</si>
  <si>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</si>
  <si>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</si>
  <si>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</si>
  <si>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</si>
  <si>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</si>
  <si>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</si>
  <si>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</si>
  <si>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</si>
  <si>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</si>
  <si>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</si>
  <si>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</si>
  <si>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</si>
  <si>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</si>
  <si>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</si>
  <si>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</si>
  <si>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</si>
  <si>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</si>
  <si>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</si>
  <si>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</si>
  <si>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</si>
  <si>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</si>
  <si>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</si>
  <si>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</si>
  <si>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</si>
  <si>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</si>
  <si>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</si>
  <si>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</si>
  <si>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</si>
  <si>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</si>
  <si>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</si>
  <si>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</si>
  <si>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</si>
  <si>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</si>
  <si>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</si>
  <si>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</si>
  <si>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</si>
  <si>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</si>
  <si>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</si>
  <si>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</si>
  <si>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</si>
  <si>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</si>
  <si>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</si>
  <si>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</si>
  <si>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</si>
  <si>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</si>
  <si>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</si>
  <si>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</si>
  <si>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</si>
  <si>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</si>
  <si>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</si>
  <si>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</si>
  <si>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</si>
  <si>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</si>
  <si>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</si>
  <si>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</si>
  <si>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</si>
  <si>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</si>
  <si>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</si>
  <si>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</si>
  <si>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</si>
  <si>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</si>
  <si>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</si>
  <si>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</si>
  <si>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</si>
  <si>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</si>
  <si>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</si>
  <si>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</si>
  <si>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</si>
  <si>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</si>
  <si>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</si>
  <si>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</si>
  <si>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</si>
  <si>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</si>
  <si>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</si>
  <si>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</si>
  <si>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</si>
  <si>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</si>
  <si>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</si>
  <si>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</si>
  <si>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</si>
  <si>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</si>
  <si>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</si>
  <si>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</si>
  <si>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</si>
  <si>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</si>
  <si>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</si>
  <si>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</si>
  <si>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</si>
  <si>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</si>
  <si>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</si>
  <si>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</si>
  <si>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</si>
  <si>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</si>
  <si>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</si>
  <si>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</si>
  <si>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</si>
  <si>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</si>
  <si>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</si>
  <si>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</si>
  <si>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</si>
  <si>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</si>
  <si>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</si>
  <si>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</si>
  <si>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</si>
  <si>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</si>
  <si>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</si>
  <si>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</si>
  <si>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</si>
  <si>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</si>
  <si>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</si>
  <si>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</si>
  <si>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</si>
  <si>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</si>
  <si>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</si>
  <si>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</si>
  <si>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</si>
  <si>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</si>
  <si>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</si>
  <si>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</si>
  <si>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</si>
  <si>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</si>
  <si>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</si>
  <si>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</si>
  <si>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</si>
  <si>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</si>
  <si>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</si>
  <si>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</si>
  <si>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</si>
  <si>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</si>
  <si>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</si>
  <si>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</si>
  <si>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</si>
  <si>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</si>
  <si>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</si>
  <si>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</si>
  <si>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</si>
  <si>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</si>
  <si>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</si>
  <si>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</si>
  <si>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</si>
  <si>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</si>
  <si>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</si>
  <si>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</si>
  <si>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</si>
  <si>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</si>
  <si>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</si>
  <si>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</si>
  <si>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</si>
  <si>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</si>
  <si>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</si>
  <si>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</si>
  <si>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</si>
  <si>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</si>
  <si>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</si>
  <si>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</si>
  <si>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</si>
  <si>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</si>
  <si>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</si>
  <si>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</si>
  <si>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</si>
  <si>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</si>
  <si>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</si>
  <si>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</si>
  <si>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</si>
  <si>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</si>
  <si>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</si>
  <si>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</si>
  <si>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</si>
  <si>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</si>
  <si>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</si>
  <si>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</si>
  <si>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</si>
  <si>
    <t>基本按鍵</t>
    <phoneticPr fontId="3" type="noConversion"/>
  </si>
  <si>
    <t>加 [Shift] 按鍵</t>
    <phoneticPr fontId="3" type="noConversion"/>
  </si>
  <si>
    <t>注音符號編碼對照表</t>
    <phoneticPr fontId="3" type="noConversion"/>
  </si>
  <si>
    <t>r</t>
    <phoneticPr fontId="3" type="noConversion"/>
  </si>
  <si>
    <t>f</t>
    <phoneticPr fontId="3" type="noConversion"/>
  </si>
  <si>
    <t>z</t>
    <phoneticPr fontId="3" type="noConversion"/>
  </si>
  <si>
    <t>ci</t>
    <phoneticPr fontId="3" type="noConversion"/>
  </si>
  <si>
    <t>chi</t>
    <phoneticPr fontId="3" type="noConversion"/>
  </si>
  <si>
    <t>台語音標</t>
    <phoneticPr fontId="3" type="noConversion"/>
  </si>
  <si>
    <t>音標編碼</t>
    <phoneticPr fontId="102" type="noConversion"/>
  </si>
  <si>
    <t xml:space="preserve">  # 設定「候選字清單」中，字典漢字與方音符號的對映</t>
  </si>
  <si>
    <t>候選字清單漢字與注音符號的對映 (comment_format)</t>
  </si>
  <si>
    <t>拚音編碼</t>
    <phoneticPr fontId="3" type="noConversion"/>
  </si>
  <si>
    <t>0</t>
    <phoneticPr fontId="102" type="noConversion"/>
  </si>
  <si>
    <t>R</t>
    <phoneticPr fontId="102" type="noConversion"/>
  </si>
  <si>
    <t>[</t>
    <phoneticPr fontId="102" type="noConversion"/>
  </si>
  <si>
    <t>]</t>
    <phoneticPr fontId="102" type="noConversion"/>
  </si>
  <si>
    <t>@</t>
    <phoneticPr fontId="102" type="noConversion"/>
  </si>
  <si>
    <t>{</t>
    <phoneticPr fontId="102" type="noConversion"/>
  </si>
  <si>
    <t>}</t>
    <phoneticPr fontId="102" type="noConversion"/>
  </si>
  <si>
    <t>N</t>
    <phoneticPr fontId="102" type="noConversion"/>
  </si>
  <si>
    <t>M</t>
    <phoneticPr fontId="102" type="noConversion"/>
  </si>
  <si>
    <t>W</t>
    <phoneticPr fontId="102" type="noConversion"/>
  </si>
  <si>
    <t>X</t>
    <phoneticPr fontId="102" type="noConversion"/>
  </si>
  <si>
    <t>Y</t>
    <phoneticPr fontId="102" type="noConversion"/>
  </si>
  <si>
    <t>E</t>
    <phoneticPr fontId="102" type="noConversion"/>
  </si>
  <si>
    <t>Q</t>
    <phoneticPr fontId="102" type="noConversion"/>
  </si>
  <si>
    <t>A</t>
    <phoneticPr fontId="102" type="noConversion"/>
  </si>
  <si>
    <t>U</t>
    <phoneticPr fontId="102" type="noConversion"/>
  </si>
  <si>
    <t>I</t>
    <phoneticPr fontId="102" type="noConversion"/>
  </si>
  <si>
    <t>S</t>
    <phoneticPr fontId="102" type="noConversion"/>
  </si>
  <si>
    <t>J</t>
    <phoneticPr fontId="102" type="noConversion"/>
  </si>
  <si>
    <t>C</t>
    <phoneticPr fontId="102" type="noConversion"/>
  </si>
  <si>
    <t>Z</t>
    <phoneticPr fontId="102" type="noConversion"/>
  </si>
  <si>
    <t>K</t>
    <phoneticPr fontId="102" type="noConversion"/>
  </si>
  <si>
    <t>T</t>
    <phoneticPr fontId="102" type="noConversion"/>
  </si>
  <si>
    <t>P</t>
    <phoneticPr fontId="102" type="noConversion"/>
  </si>
  <si>
    <t>音標編碼</t>
    <phoneticPr fontId="3" type="noConversion"/>
  </si>
  <si>
    <t>-ing</t>
    <phoneticPr fontId="102" type="noConversion"/>
  </si>
  <si>
    <t>-ng</t>
    <phoneticPr fontId="102" type="noConversion"/>
  </si>
  <si>
    <t>-n</t>
    <phoneticPr fontId="102" type="noConversion"/>
  </si>
  <si>
    <t>-m</t>
    <phoneticPr fontId="102" type="noConversion"/>
  </si>
  <si>
    <t>ir</t>
    <phoneticPr fontId="102" type="noConversion"/>
  </si>
  <si>
    <t>台語音標</t>
    <phoneticPr fontId="102" type="noConversion"/>
  </si>
  <si>
    <t>ㆨ</t>
    <phoneticPr fontId="102" type="noConversion"/>
  </si>
  <si>
    <t xml:space="preserve"> </t>
    <phoneticPr fontId="102" type="noConversion"/>
  </si>
  <si>
    <t>?</t>
    <phoneticPr fontId="102" type="noConversion"/>
  </si>
  <si>
    <t>B</t>
    <phoneticPr fontId="102" type="noConversion"/>
  </si>
  <si>
    <t>L</t>
    <phoneticPr fontId="102" type="noConversion"/>
  </si>
  <si>
    <t>(</t>
    <phoneticPr fontId="102" type="noConversion"/>
  </si>
  <si>
    <t>!</t>
    <phoneticPr fontId="102" type="noConversion"/>
  </si>
  <si>
    <t>Ne</t>
    <phoneticPr fontId="102" type="noConversion"/>
  </si>
  <si>
    <t>, &lt;</t>
  </si>
  <si>
    <t>Nau</t>
    <phoneticPr fontId="102" type="noConversion"/>
  </si>
  <si>
    <t>Nu</t>
    <phoneticPr fontId="102" type="noConversion"/>
  </si>
  <si>
    <t>Noo</t>
    <phoneticPr fontId="102" type="noConversion"/>
  </si>
  <si>
    <t>Ni</t>
    <phoneticPr fontId="102" type="noConversion"/>
  </si>
  <si>
    <t>ji</t>
    <phoneticPr fontId="102" type="noConversion"/>
  </si>
  <si>
    <t>ｎ</t>
  </si>
  <si>
    <t>入声</t>
  </si>
  <si>
    <t>·</t>
  </si>
  <si>
    <t>Nai</t>
    <phoneticPr fontId="102" type="noConversion"/>
  </si>
  <si>
    <t>Na</t>
    <phoneticPr fontId="102" type="noConversion"/>
  </si>
  <si>
    <t>9 (</t>
  </si>
  <si>
    <t>8 *</t>
  </si>
  <si>
    <t>1 !</t>
  </si>
  <si>
    <t>{</t>
  </si>
  <si>
    <t>}</t>
  </si>
  <si>
    <t>[</t>
  </si>
  <si>
    <t>]</t>
  </si>
  <si>
    <t>:</t>
  </si>
  <si>
    <t>'1!qa2wsxeEdDcrRfvyYhn8*iIkoO9(lL,&lt;m0p;:/-uUjJ 43btgz657'</t>
  </si>
  <si>
    <t>&gt;</t>
  </si>
  <si>
    <t>欄1</t>
    <phoneticPr fontId="3" type="noConversion"/>
  </si>
  <si>
    <t>欄2</t>
    <phoneticPr fontId="3" type="noConversion"/>
  </si>
  <si>
    <t>Keymap</t>
    <phoneticPr fontId="63" type="noConversion"/>
  </si>
  <si>
    <t>- 'xlit|pbPmtTnlkgKGhZJCSzjcsaAOQoeEyYxX{}M@N[]RriIuU1239&gt;&lt;4570|1!qa2wsxeEdDcrRfvyYhn8*iIkoO9(lL,&lt;m0p;:/-uUjJ 43btgz657|'</t>
  </si>
  <si>
    <t>- 'xlit|1!qa2wsxeEdDcrRfvyYhn8*iIkoO9(lL,&lt;m0p;:/-uUjJ 43btgz657|ㄅㆠㄆㄇㄉㄊㄋㄌㄍㆣㄎㄫㄏㄐㆢㄑㄒㄗㆡㄘㄙㄚㆩㆦㆧㄜㆤㆥㄞㆮㄠㆯㆰㆱㆬㄢㄣㄤㆲㄥㆭㄧㆪㄨㆫ ˋ˪ㆴㆵㆻㆷˊ˫˙|'</t>
  </si>
  <si>
    <t>- 'xlit|pbPmtTnlkgKGhZJCSzjcsaAOQoeEyYxX{}M@N[]RriIuU9&gt;&lt;4123570|ㄅㆠㄆㄇㄉㄊㄋㄌㄍㆣㄎㄫㄏㄐㆢㄑㄒㄗㆡㄘㄙㄚㆩㆦㆧㄜㆤㆤㄞㆮㄠㆯㆰㆱㆬㄢㄣㄤㆲㄥㆭㄧㄧㄨㆫㆴㆵㆻㆷ ˋ˪ˊ˫˙|'</t>
  </si>
  <si>
    <t>@</t>
  </si>
  <si>
    <t>Alphabet:</t>
    <phoneticPr fontId="102" type="noConversion"/>
  </si>
  <si>
    <t>'1!qa2wsxeEdDcrRfvyYhn8*iIkoO9(lL,&lt;m0p;:/-uUjJbtgz 43657'</t>
  </si>
  <si>
    <t>音標編碼</t>
    <phoneticPr fontId="63" type="noConversion"/>
  </si>
  <si>
    <t>按鍵字元</t>
    <phoneticPr fontId="102" type="noConversion"/>
  </si>
  <si>
    <t>欄2</t>
  </si>
  <si>
    <t>音標編碼</t>
  </si>
  <si>
    <t>欄1</t>
  </si>
  <si>
    <t>對映總表</t>
  </si>
  <si>
    <t>chi</t>
  </si>
  <si>
    <t>Ne</t>
    <phoneticPr fontId="3" type="noConversion"/>
  </si>
  <si>
    <t>Nai</t>
    <phoneticPr fontId="3" type="noConversion"/>
  </si>
  <si>
    <t>Nau</t>
    <phoneticPr fontId="3" type="noConversion"/>
  </si>
  <si>
    <t>Na</t>
    <phoneticPr fontId="3" type="noConversion"/>
  </si>
  <si>
    <t>Noo</t>
    <phoneticPr fontId="3" type="noConversion"/>
  </si>
  <si>
    <t>ing</t>
    <phoneticPr fontId="3" type="noConversion"/>
  </si>
  <si>
    <t>Nu</t>
    <phoneticPr fontId="3" type="noConversion"/>
  </si>
  <si>
    <t>&gt;</t>
    <phoneticPr fontId="3" type="noConversion"/>
  </si>
  <si>
    <t>aN</t>
    <phoneticPr fontId="3" type="noConversion"/>
  </si>
  <si>
    <t>ooN</t>
    <phoneticPr fontId="3" type="noConversion"/>
  </si>
  <si>
    <t>eN</t>
    <phoneticPr fontId="3" type="noConversion"/>
  </si>
  <si>
    <t>aiN</t>
    <phoneticPr fontId="3" type="noConversion"/>
  </si>
  <si>
    <t>auN</t>
    <phoneticPr fontId="3" type="noConversion"/>
  </si>
  <si>
    <t>候選字清單漢字與注音符號的對映 (comment_format)</t>
    <phoneticPr fontId="3" type="noConversion"/>
  </si>
  <si>
    <t>ㆨ</t>
    <phoneticPr fontId="3" type="noConversion"/>
  </si>
  <si>
    <t>ir</t>
    <phoneticPr fontId="3" type="noConversion"/>
  </si>
  <si>
    <t>iN</t>
    <phoneticPr fontId="3" type="noConversion"/>
  </si>
  <si>
    <t>uN</t>
    <phoneticPr fontId="3" type="noConversion"/>
  </si>
  <si>
    <t>ˉ</t>
    <phoneticPr fontId="3" type="noConversion"/>
  </si>
  <si>
    <t>==&gt;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</si>
</sst>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7" formatCode="General;;\(&quot;空&quot;&quot;白&quot;&quot;字&quot;&quot;元&quot;\)"/>
  </numFmts>
  <fonts count="212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sz val="20"/>
      <color rgb="FFFF0000"/>
      <name val="Iansui 094"/>
      <family val="3"/>
      <charset val="136"/>
    </font>
    <font>
      <sz val="22"/>
      <color rgb="FF000000"/>
      <name val="Noto Serif TC Medium"/>
    </font>
    <font>
      <sz val="22"/>
      <color rgb="FF000000"/>
      <name val="Noto Serif TC Medium"/>
      <family val="2"/>
    </font>
    <font>
      <sz val="26"/>
      <color rgb="FF000000"/>
      <name val="Noto Serif TC Medium"/>
    </font>
    <font>
      <sz val="10"/>
      <color rgb="FF000000"/>
      <name val="KangXi Font Full Version"/>
      <family val="3"/>
      <charset val="136"/>
    </font>
    <font>
      <sz val="24"/>
      <color rgb="FFFF0000"/>
      <name val="KangXi Font Full Version"/>
      <family val="3"/>
      <charset val="136"/>
    </font>
    <font>
      <sz val="24"/>
      <color rgb="FF000000"/>
      <name val="KangXi Font Full Version"/>
      <family val="3"/>
      <charset val="136"/>
    </font>
    <font>
      <sz val="18"/>
      <color rgb="FFC00000"/>
      <name val="KangXi Font Full Version"/>
      <family val="3"/>
      <charset val="136"/>
    </font>
    <font>
      <b/>
      <sz val="16"/>
      <color rgb="FFFF0000"/>
      <name val="KangXi Font Full Version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8"/>
      <name val="LXGW WenKai Mono"/>
      <family val="3"/>
      <charset val="136"/>
    </font>
    <font>
      <b/>
      <sz val="24"/>
      <color rgb="FFFFFF00"/>
      <name val="Arial"/>
      <family val="2"/>
    </font>
    <font>
      <sz val="24"/>
      <color theme="0"/>
      <name val="Microsoft JhengHei"/>
      <family val="2"/>
      <charset val="136"/>
    </font>
    <font>
      <sz val="18"/>
      <color theme="0"/>
      <name val="LXGW WenKai Mono"/>
      <family val="3"/>
      <charset val="136"/>
    </font>
    <font>
      <sz val="18"/>
      <color rgb="FF00B0F0"/>
      <name val="Arial"/>
      <family val="2"/>
    </font>
    <font>
      <sz val="18"/>
      <color rgb="FF0070C0"/>
      <name val="LXGW WenKai Mono"/>
      <family val="3"/>
      <charset val="136"/>
    </font>
    <font>
      <sz val="18"/>
      <color theme="4"/>
      <name val="Microsoft JhengHei UI"/>
      <family val="2"/>
      <charset val="136"/>
    </font>
    <font>
      <sz val="20"/>
      <color rgb="FF000000"/>
      <name val="宋体"/>
      <charset val="136"/>
    </font>
    <font>
      <sz val="22"/>
      <name val="Iansui 094"/>
      <family val="3"/>
      <charset val="136"/>
    </font>
    <font>
      <sz val="18"/>
      <color rgb="FFFF0000"/>
      <name val="Noto Sans TC"/>
      <family val="2"/>
    </font>
    <font>
      <sz val="22"/>
      <color rgb="FFFF0000"/>
      <name val="Iansui 094"/>
      <family val="3"/>
      <charset val="136"/>
    </font>
    <font>
      <sz val="18"/>
      <color rgb="FFFF0000"/>
      <name val="BopomofoRuby1909-v1"/>
      <family val="3"/>
      <charset val="136"/>
    </font>
    <font>
      <sz val="18"/>
      <color rgb="FFFF0000"/>
      <name val="Noto Sans TC"/>
      <family val="2"/>
      <charset val="136"/>
    </font>
    <font>
      <sz val="18"/>
      <color theme="4" tint="0.39997558519241921"/>
      <name val="Arial"/>
      <family val="2"/>
    </font>
    <font>
      <b/>
      <sz val="22"/>
      <color rgb="FFFF0000"/>
      <name val="Iansui 094"/>
      <family val="3"/>
      <charset val="136"/>
    </font>
    <font>
      <sz val="18"/>
      <name val="Arial"/>
      <family val="2"/>
    </font>
    <font>
      <sz val="18"/>
      <color theme="4" tint="0.39997558519241921"/>
      <name val="LXGW WenKai Mono"/>
      <family val="3"/>
      <charset val="136"/>
    </font>
    <font>
      <sz val="20"/>
      <color theme="2" tint="-9.9978637043366805E-2"/>
      <name val="Arial"/>
      <family val="2"/>
    </font>
    <font>
      <sz val="24"/>
      <color theme="2" tint="-9.9978637043366805E-2"/>
      <name val="Iansui 094"/>
      <family val="3"/>
      <charset val="136"/>
    </font>
  </fonts>
  <fills count="2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01" fillId="0" borderId="0"/>
    <xf numFmtId="0" fontId="190" fillId="0" borderId="0"/>
  </cellStyleXfs>
  <cellXfs count="650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2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15" xfId="0" applyFont="1" applyFill="1" applyBorder="1" applyAlignment="1">
      <alignment horizontal="left" vertical="center" indent="1"/>
    </xf>
    <xf numFmtId="0" fontId="25" fillId="6" borderId="12" xfId="0" applyFont="1" applyFill="1" applyBorder="1" applyAlignment="1">
      <alignment horizontal="left" vertical="center" indent="1"/>
    </xf>
    <xf numFmtId="0" fontId="25" fillId="6" borderId="15" xfId="0" applyFont="1" applyFill="1" applyBorder="1" applyAlignment="1">
      <alignment horizontal="left" vertical="center" indent="1"/>
    </xf>
    <xf numFmtId="0" fontId="31" fillId="0" borderId="0" xfId="0" applyFont="1" applyAlignment="1">
      <alignment horizontal="center" vertical="center"/>
    </xf>
    <xf numFmtId="0" fontId="33" fillId="0" borderId="0" xfId="0" applyFont="1"/>
    <xf numFmtId="0" fontId="32" fillId="6" borderId="11" xfId="0" applyFont="1" applyFill="1" applyBorder="1" applyAlignment="1">
      <alignment horizontal="center" vertical="center"/>
    </xf>
    <xf numFmtId="0" fontId="31" fillId="5" borderId="8" xfId="0" applyFont="1" applyFill="1" applyBorder="1" applyAlignment="1">
      <alignment vertical="center"/>
    </xf>
    <xf numFmtId="0" fontId="3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6" fontId="9" fillId="2" borderId="4" xfId="0" applyNumberFormat="1" applyFont="1" applyFill="1" applyBorder="1" applyAlignment="1">
      <alignment vertical="center"/>
    </xf>
    <xf numFmtId="176" fontId="3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35" fillId="4" borderId="5" xfId="0" applyFont="1" applyFill="1" applyBorder="1" applyAlignment="1">
      <alignment vertical="center"/>
    </xf>
    <xf numFmtId="176" fontId="35" fillId="4" borderId="5" xfId="0" applyNumberFormat="1" applyFont="1" applyFill="1" applyBorder="1" applyAlignment="1">
      <alignment vertical="center"/>
    </xf>
    <xf numFmtId="176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37" fillId="14" borderId="0" xfId="0" applyFont="1" applyFill="1" applyAlignment="1">
      <alignment vertical="center"/>
    </xf>
    <xf numFmtId="0" fontId="37" fillId="14" borderId="8" xfId="0" applyFont="1" applyFill="1" applyBorder="1" applyAlignment="1">
      <alignment vertical="center"/>
    </xf>
    <xf numFmtId="0" fontId="3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1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3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6" fontId="16" fillId="17" borderId="0" xfId="2" applyNumberFormat="1" applyFont="1" applyFill="1" applyAlignment="1">
      <alignment horizontal="center" vertical="center"/>
    </xf>
    <xf numFmtId="176" fontId="39" fillId="18" borderId="0" xfId="2" applyNumberFormat="1" applyFont="1" applyFill="1" applyAlignment="1">
      <alignment horizontal="center" vertical="center"/>
    </xf>
    <xf numFmtId="176" fontId="40" fillId="17" borderId="0" xfId="2" applyNumberFormat="1" applyFont="1" applyFill="1" applyAlignment="1">
      <alignment horizontal="center" vertical="center"/>
    </xf>
    <xf numFmtId="176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6" fontId="16" fillId="10" borderId="0" xfId="2" applyNumberFormat="1" applyFont="1" applyFill="1" applyAlignment="1">
      <alignment horizontal="center" vertical="center"/>
    </xf>
    <xf numFmtId="176" fontId="37" fillId="14" borderId="0" xfId="2" applyNumberFormat="1" applyFont="1" applyFill="1" applyAlignment="1">
      <alignment horizontal="center" vertical="center" shrinkToFit="1"/>
    </xf>
    <xf numFmtId="176" fontId="41" fillId="14" borderId="0" xfId="2" quotePrefix="1" applyNumberFormat="1" applyFont="1" applyFill="1" applyAlignment="1">
      <alignment horizontal="center" vertical="center" shrinkToFit="1"/>
    </xf>
    <xf numFmtId="176" fontId="41" fillId="14" borderId="0" xfId="2" applyNumberFormat="1" applyFont="1" applyFill="1" applyAlignment="1">
      <alignment horizontal="center" vertical="center" shrinkToFit="1"/>
    </xf>
    <xf numFmtId="176" fontId="37" fillId="14" borderId="0" xfId="2" quotePrefix="1" applyNumberFormat="1" applyFont="1" applyFill="1" applyAlignment="1">
      <alignment horizontal="center" vertical="center" shrinkToFit="1"/>
    </xf>
    <xf numFmtId="0" fontId="41" fillId="14" borderId="0" xfId="2" applyFont="1" applyFill="1">
      <alignment vertical="center"/>
    </xf>
    <xf numFmtId="176" fontId="42" fillId="19" borderId="0" xfId="2" applyNumberFormat="1" applyFont="1" applyFill="1" applyAlignment="1">
      <alignment horizontal="center" vertical="center" shrinkToFit="1"/>
    </xf>
    <xf numFmtId="176" fontId="43" fillId="19" borderId="0" xfId="2" quotePrefix="1" applyNumberFormat="1" applyFont="1" applyFill="1" applyAlignment="1">
      <alignment horizontal="center" vertical="center" shrinkToFit="1"/>
    </xf>
    <xf numFmtId="176" fontId="38" fillId="19" borderId="0" xfId="2" applyNumberFormat="1" applyFont="1" applyFill="1" applyAlignment="1">
      <alignment horizontal="center" vertical="center" shrinkToFit="1"/>
    </xf>
    <xf numFmtId="176" fontId="43" fillId="19" borderId="0" xfId="2" applyNumberFormat="1" applyFont="1" applyFill="1" applyAlignment="1">
      <alignment horizontal="center" vertical="center" shrinkToFit="1"/>
    </xf>
    <xf numFmtId="176" fontId="38" fillId="19" borderId="0" xfId="2" quotePrefix="1" applyNumberFormat="1" applyFont="1" applyFill="1" applyAlignment="1">
      <alignment horizontal="center" vertical="center" shrinkToFit="1"/>
    </xf>
    <xf numFmtId="0" fontId="41" fillId="19" borderId="0" xfId="2" applyFont="1" applyFill="1">
      <alignment vertical="center"/>
    </xf>
    <xf numFmtId="176" fontId="44" fillId="7" borderId="0" xfId="2" applyNumberFormat="1" applyFont="1" applyFill="1" applyAlignment="1">
      <alignment horizontal="center" vertical="center" shrinkToFit="1"/>
    </xf>
    <xf numFmtId="176" fontId="45" fillId="7" borderId="0" xfId="2" applyNumberFormat="1" applyFont="1" applyFill="1" applyAlignment="1">
      <alignment horizontal="center" vertical="center" shrinkToFit="1"/>
    </xf>
    <xf numFmtId="0" fontId="46" fillId="7" borderId="0" xfId="2" applyFont="1" applyFill="1">
      <alignment vertical="center"/>
    </xf>
    <xf numFmtId="0" fontId="47" fillId="6" borderId="0" xfId="2" applyFont="1" applyFill="1" applyAlignment="1">
      <alignment horizontal="center" vertical="center" shrinkToFit="1"/>
    </xf>
    <xf numFmtId="0" fontId="4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4" borderId="12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2" xfId="0" applyFont="1" applyFill="1" applyBorder="1" applyAlignment="1">
      <alignment horizontal="left" vertical="center" indent="3"/>
    </xf>
    <xf numFmtId="0" fontId="23" fillId="8" borderId="15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6" fontId="48" fillId="2" borderId="4" xfId="0" applyNumberFormat="1" applyFont="1" applyFill="1" applyBorder="1" applyAlignment="1">
      <alignment vertical="center"/>
    </xf>
    <xf numFmtId="176" fontId="10" fillId="2" borderId="6" xfId="0" applyNumberFormat="1" applyFont="1" applyFill="1" applyBorder="1" applyAlignment="1">
      <alignment vertical="center"/>
    </xf>
    <xf numFmtId="176" fontId="10" fillId="2" borderId="6" xfId="0" applyNumberFormat="1" applyFont="1" applyFill="1" applyBorder="1" applyAlignment="1">
      <alignment vertical="center" wrapText="1"/>
    </xf>
    <xf numFmtId="176" fontId="10" fillId="4" borderId="6" xfId="0" applyNumberFormat="1" applyFont="1" applyFill="1" applyBorder="1" applyAlignment="1">
      <alignment vertical="center" wrapText="1"/>
    </xf>
    <xf numFmtId="176" fontId="10" fillId="4" borderId="6" xfId="0" applyNumberFormat="1" applyFont="1" applyFill="1" applyBorder="1" applyAlignment="1">
      <alignment vertical="center"/>
    </xf>
    <xf numFmtId="176" fontId="10" fillId="4" borderId="6" xfId="0" quotePrefix="1" applyNumberFormat="1" applyFont="1" applyFill="1" applyBorder="1" applyAlignment="1">
      <alignment vertical="center" wrapText="1"/>
    </xf>
    <xf numFmtId="176" fontId="52" fillId="15" borderId="11" xfId="0" applyNumberFormat="1" applyFont="1" applyFill="1" applyBorder="1" applyAlignment="1">
      <alignment horizontal="center" vertical="center"/>
    </xf>
    <xf numFmtId="176" fontId="53" fillId="15" borderId="11" xfId="0" applyNumberFormat="1" applyFont="1" applyFill="1" applyBorder="1" applyAlignment="1">
      <alignment horizontal="center" vertical="center"/>
    </xf>
    <xf numFmtId="176" fontId="34" fillId="8" borderId="11" xfId="0" applyNumberFormat="1" applyFont="1" applyFill="1" applyBorder="1" applyAlignment="1">
      <alignment horizontal="center" vertical="center"/>
    </xf>
    <xf numFmtId="176" fontId="49" fillId="8" borderId="11" xfId="0" applyNumberFormat="1" applyFont="1" applyFill="1" applyBorder="1" applyAlignment="1">
      <alignment horizontal="center" vertical="center"/>
    </xf>
    <xf numFmtId="176" fontId="34" fillId="8" borderId="11" xfId="0" quotePrefix="1" applyNumberFormat="1" applyFont="1" applyFill="1" applyBorder="1" applyAlignment="1">
      <alignment horizontal="center" vertical="center"/>
    </xf>
    <xf numFmtId="176" fontId="10" fillId="4" borderId="6" xfId="0" quotePrefix="1" applyNumberFormat="1" applyFont="1" applyFill="1" applyBorder="1" applyAlignment="1">
      <alignment vertical="center"/>
    </xf>
    <xf numFmtId="0" fontId="53" fillId="15" borderId="11" xfId="0" applyFont="1" applyFill="1" applyBorder="1" applyAlignment="1">
      <alignment horizontal="center" vertical="center"/>
    </xf>
    <xf numFmtId="0" fontId="5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58" fillId="0" borderId="0" xfId="0" applyFont="1"/>
    <xf numFmtId="0" fontId="5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60" fillId="0" borderId="0" xfId="3" applyFont="1" applyAlignment="1">
      <alignment horizontal="center"/>
    </xf>
    <xf numFmtId="0" fontId="61" fillId="16" borderId="0" xfId="3" applyFont="1" applyFill="1" applyAlignment="1">
      <alignment horizontal="center"/>
    </xf>
    <xf numFmtId="0" fontId="62" fillId="0" borderId="0" xfId="3" applyFont="1" applyAlignment="1">
      <alignment horizontal="center"/>
    </xf>
    <xf numFmtId="0" fontId="6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65" fillId="0" borderId="0" xfId="3" applyFont="1" applyAlignment="1">
      <alignment horizontal="center"/>
    </xf>
    <xf numFmtId="0" fontId="66" fillId="0" borderId="0" xfId="3" applyFont="1" applyAlignment="1">
      <alignment horizontal="center"/>
    </xf>
    <xf numFmtId="0" fontId="67" fillId="0" borderId="0" xfId="3" applyFont="1" applyAlignment="1">
      <alignment horizontal="center"/>
    </xf>
    <xf numFmtId="0" fontId="68" fillId="0" borderId="0" xfId="3" applyFont="1" applyAlignment="1">
      <alignment horizontal="center"/>
    </xf>
    <xf numFmtId="0" fontId="69" fillId="0" borderId="0" xfId="3" applyFont="1" applyAlignment="1">
      <alignment horizontal="center"/>
    </xf>
    <xf numFmtId="0" fontId="70" fillId="20" borderId="0" xfId="3" applyFont="1" applyFill="1" applyAlignment="1">
      <alignment horizontal="center"/>
    </xf>
    <xf numFmtId="0" fontId="71" fillId="0" borderId="0" xfId="3" applyFont="1" applyAlignment="1">
      <alignment horizontal="center"/>
    </xf>
    <xf numFmtId="0" fontId="80" fillId="0" borderId="0" xfId="3" applyFont="1" applyAlignment="1">
      <alignment horizontal="left"/>
    </xf>
    <xf numFmtId="0" fontId="79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91" fillId="0" borderId="0" xfId="0" applyFont="1" applyAlignment="1">
      <alignment horizontal="center" vertical="center"/>
    </xf>
    <xf numFmtId="0" fontId="91" fillId="7" borderId="0" xfId="0" applyFont="1" applyFill="1" applyAlignment="1">
      <alignment horizontal="center" vertical="center"/>
    </xf>
    <xf numFmtId="0" fontId="91" fillId="7" borderId="12" xfId="0" applyFont="1" applyFill="1" applyBorder="1" applyAlignment="1">
      <alignment horizontal="center" vertical="center"/>
    </xf>
    <xf numFmtId="0" fontId="91" fillId="7" borderId="15" xfId="0" applyFont="1" applyFill="1" applyBorder="1" applyAlignment="1">
      <alignment horizontal="center" vertical="center"/>
    </xf>
    <xf numFmtId="0" fontId="91" fillId="7" borderId="9" xfId="0" applyFont="1" applyFill="1" applyBorder="1" applyAlignment="1">
      <alignment horizontal="center" vertical="center"/>
    </xf>
    <xf numFmtId="0" fontId="93" fillId="5" borderId="7" xfId="0" applyFont="1" applyFill="1" applyBorder="1" applyAlignment="1">
      <alignment horizontal="center" vertical="center"/>
    </xf>
    <xf numFmtId="0" fontId="94" fillId="7" borderId="7" xfId="0" applyFont="1" applyFill="1" applyBorder="1" applyAlignment="1">
      <alignment horizontal="center" vertical="center"/>
    </xf>
    <xf numFmtId="0" fontId="93" fillId="8" borderId="7" xfId="0" applyFont="1" applyFill="1" applyBorder="1" applyAlignment="1">
      <alignment horizontal="center" vertical="center"/>
    </xf>
    <xf numFmtId="0" fontId="93" fillId="2" borderId="7" xfId="0" applyFont="1" applyFill="1" applyBorder="1" applyAlignment="1">
      <alignment horizontal="center" vertical="center"/>
    </xf>
    <xf numFmtId="0" fontId="93" fillId="4" borderId="7" xfId="0" applyFont="1" applyFill="1" applyBorder="1" applyAlignment="1">
      <alignment horizontal="center" vertical="center"/>
    </xf>
    <xf numFmtId="0" fontId="96" fillId="21" borderId="0" xfId="0" applyFont="1" applyFill="1" applyAlignment="1">
      <alignment horizontal="center" vertical="center" wrapText="1"/>
    </xf>
    <xf numFmtId="0" fontId="97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6" fontId="43" fillId="14" borderId="11" xfId="0" applyNumberFormat="1" applyFont="1" applyFill="1" applyBorder="1" applyAlignment="1">
      <alignment horizontal="center" vertical="center"/>
    </xf>
    <xf numFmtId="176" fontId="50" fillId="14" borderId="11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37" fillId="14" borderId="0" xfId="0" applyFont="1" applyFill="1" applyAlignment="1">
      <alignment horizontal="center" vertical="center"/>
    </xf>
    <xf numFmtId="0" fontId="14" fillId="0" borderId="0" xfId="4" applyFont="1"/>
    <xf numFmtId="0" fontId="103" fillId="0" borderId="0" xfId="4" applyFont="1"/>
    <xf numFmtId="0" fontId="10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04" fillId="0" borderId="0" xfId="4" applyFont="1" applyAlignment="1">
      <alignment horizontal="center"/>
    </xf>
    <xf numFmtId="0" fontId="105" fillId="0" borderId="0" xfId="4" applyFont="1" applyAlignment="1">
      <alignment horizontal="center"/>
    </xf>
    <xf numFmtId="0" fontId="106" fillId="0" borderId="0" xfId="4" applyFont="1" applyAlignment="1">
      <alignment horizontal="center"/>
    </xf>
    <xf numFmtId="0" fontId="107" fillId="0" borderId="0" xfId="4" applyFont="1" applyAlignment="1">
      <alignment horizontal="center"/>
    </xf>
    <xf numFmtId="0" fontId="108" fillId="0" borderId="0" xfId="4" applyFont="1" applyAlignment="1">
      <alignment horizontal="center"/>
    </xf>
    <xf numFmtId="0" fontId="46" fillId="0" borderId="0" xfId="4" applyFont="1"/>
    <xf numFmtId="0" fontId="109" fillId="22" borderId="14" xfId="4" applyFont="1" applyFill="1" applyBorder="1"/>
    <xf numFmtId="0" fontId="110" fillId="22" borderId="12" xfId="4" applyFont="1" applyFill="1" applyBorder="1" applyAlignment="1">
      <alignment horizontal="center"/>
    </xf>
    <xf numFmtId="0" fontId="110" fillId="22" borderId="13" xfId="4" applyFont="1" applyFill="1" applyBorder="1" applyAlignment="1">
      <alignment horizontal="center"/>
    </xf>
    <xf numFmtId="0" fontId="111" fillId="22" borderId="14" xfId="4" applyFont="1" applyFill="1" applyBorder="1" applyAlignment="1">
      <alignment horizontal="center"/>
    </xf>
    <xf numFmtId="0" fontId="103" fillId="23" borderId="0" xfId="4" applyFont="1" applyFill="1" applyAlignment="1">
      <alignment horizontal="center"/>
    </xf>
    <xf numFmtId="0" fontId="110" fillId="24" borderId="0" xfId="4" applyFont="1" applyFill="1" applyAlignment="1">
      <alignment horizontal="center"/>
    </xf>
    <xf numFmtId="0" fontId="112" fillId="20" borderId="0" xfId="4" applyFont="1" applyFill="1" applyAlignment="1">
      <alignment horizontal="center"/>
    </xf>
    <xf numFmtId="0" fontId="112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09" fillId="22" borderId="18" xfId="4" applyFont="1" applyFill="1" applyBorder="1"/>
    <xf numFmtId="0" fontId="110" fillId="22" borderId="0" xfId="4" applyFont="1" applyFill="1" applyAlignment="1">
      <alignment horizontal="center"/>
    </xf>
    <xf numFmtId="0" fontId="110" fillId="22" borderId="19" xfId="4" applyFont="1" applyFill="1" applyBorder="1" applyAlignment="1">
      <alignment horizontal="center"/>
    </xf>
    <xf numFmtId="0" fontId="111" fillId="22" borderId="0" xfId="4" applyFont="1" applyFill="1" applyAlignment="1">
      <alignment horizontal="center"/>
    </xf>
    <xf numFmtId="0" fontId="98" fillId="0" borderId="0" xfId="4" applyFont="1" applyAlignment="1">
      <alignment horizontal="center"/>
    </xf>
    <xf numFmtId="0" fontId="109" fillId="22" borderId="17" xfId="4" applyFont="1" applyFill="1" applyBorder="1"/>
    <xf numFmtId="0" fontId="110" fillId="22" borderId="15" xfId="4" applyFont="1" applyFill="1" applyBorder="1" applyAlignment="1">
      <alignment horizontal="center"/>
    </xf>
    <xf numFmtId="0" fontId="110" fillId="22" borderId="16" xfId="4" applyFont="1" applyFill="1" applyBorder="1" applyAlignment="1">
      <alignment horizontal="center"/>
    </xf>
    <xf numFmtId="0" fontId="111" fillId="22" borderId="15" xfId="4" applyFont="1" applyFill="1" applyBorder="1" applyAlignment="1">
      <alignment horizontal="center"/>
    </xf>
    <xf numFmtId="0" fontId="113" fillId="0" borderId="0" xfId="4" applyFont="1" applyAlignment="1">
      <alignment horizontal="center"/>
    </xf>
    <xf numFmtId="0" fontId="114" fillId="22" borderId="17" xfId="4" applyFont="1" applyFill="1" applyBorder="1"/>
    <xf numFmtId="0" fontId="115" fillId="22" borderId="15" xfId="4" applyFont="1" applyFill="1" applyBorder="1" applyAlignment="1">
      <alignment horizontal="center"/>
    </xf>
    <xf numFmtId="0" fontId="116" fillId="22" borderId="16" xfId="4" applyFont="1" applyFill="1" applyBorder="1" applyAlignment="1">
      <alignment horizontal="center"/>
    </xf>
    <xf numFmtId="0" fontId="117" fillId="22" borderId="15" xfId="4" applyFont="1" applyFill="1" applyBorder="1" applyAlignment="1">
      <alignment horizontal="center"/>
    </xf>
    <xf numFmtId="0" fontId="111" fillId="22" borderId="12" xfId="4" applyFont="1" applyFill="1" applyBorder="1" applyAlignment="1">
      <alignment horizontal="center"/>
    </xf>
    <xf numFmtId="0" fontId="115" fillId="23" borderId="0" xfId="4" applyFont="1" applyFill="1" applyAlignment="1">
      <alignment horizontal="center"/>
    </xf>
    <xf numFmtId="0" fontId="115" fillId="22" borderId="14" xfId="4" applyFont="1" applyFill="1" applyBorder="1"/>
    <xf numFmtId="0" fontId="116" fillId="22" borderId="12" xfId="4" applyFont="1" applyFill="1" applyBorder="1" applyAlignment="1">
      <alignment horizontal="center"/>
    </xf>
    <xf numFmtId="0" fontId="118" fillId="22" borderId="13" xfId="4" applyFont="1" applyFill="1" applyBorder="1" applyAlignment="1">
      <alignment horizontal="center"/>
    </xf>
    <xf numFmtId="0" fontId="118" fillId="22" borderId="12" xfId="4" applyFont="1" applyFill="1" applyBorder="1" applyAlignment="1">
      <alignment horizontal="center"/>
    </xf>
    <xf numFmtId="0" fontId="119" fillId="24" borderId="0" xfId="4" applyFont="1" applyFill="1" applyAlignment="1">
      <alignment horizontal="center"/>
    </xf>
    <xf numFmtId="0" fontId="115" fillId="22" borderId="18" xfId="4" applyFont="1" applyFill="1" applyBorder="1"/>
    <xf numFmtId="0" fontId="116" fillId="22" borderId="0" xfId="4" applyFont="1" applyFill="1" applyAlignment="1">
      <alignment horizontal="center"/>
    </xf>
    <xf numFmtId="0" fontId="118" fillId="22" borderId="19" xfId="4" applyFont="1" applyFill="1" applyBorder="1" applyAlignment="1">
      <alignment horizontal="center"/>
    </xf>
    <xf numFmtId="0" fontId="118" fillId="22" borderId="0" xfId="4" applyFont="1" applyFill="1" applyAlignment="1">
      <alignment horizontal="center"/>
    </xf>
    <xf numFmtId="0" fontId="109" fillId="11" borderId="0" xfId="4" applyFont="1" applyFill="1"/>
    <xf numFmtId="0" fontId="103" fillId="11" borderId="0" xfId="4" applyFont="1" applyFill="1" applyAlignment="1">
      <alignment horizontal="center"/>
    </xf>
    <xf numFmtId="0" fontId="111" fillId="11" borderId="0" xfId="4" applyFont="1" applyFill="1" applyAlignment="1">
      <alignment horizontal="center"/>
    </xf>
    <xf numFmtId="0" fontId="120" fillId="16" borderId="0" xfId="4" applyFont="1" applyFill="1" applyAlignment="1">
      <alignment horizontal="center"/>
    </xf>
    <xf numFmtId="0" fontId="120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98" fillId="0" borderId="0" xfId="4" quotePrefix="1" applyFont="1" applyAlignment="1">
      <alignment horizontal="center"/>
    </xf>
    <xf numFmtId="0" fontId="121" fillId="0" borderId="0" xfId="0" applyFont="1" applyAlignment="1">
      <alignment vertical="center"/>
    </xf>
    <xf numFmtId="0" fontId="122" fillId="0" borderId="0" xfId="4" applyFont="1"/>
    <xf numFmtId="0" fontId="124" fillId="15" borderId="11" xfId="0" applyFont="1" applyFill="1" applyBorder="1" applyAlignment="1">
      <alignment horizontal="center" vertical="center"/>
    </xf>
    <xf numFmtId="0" fontId="127" fillId="9" borderId="0" xfId="4" applyFont="1" applyFill="1"/>
    <xf numFmtId="0" fontId="46" fillId="26" borderId="0" xfId="4" applyFont="1" applyFill="1"/>
    <xf numFmtId="0" fontId="126" fillId="26" borderId="0" xfId="4" applyFont="1" applyFill="1"/>
    <xf numFmtId="49" fontId="127" fillId="9" borderId="0" xfId="4" applyNumberFormat="1" applyFont="1" applyFill="1"/>
    <xf numFmtId="0" fontId="18" fillId="0" borderId="0" xfId="4" applyFont="1"/>
    <xf numFmtId="0" fontId="128" fillId="0" borderId="0" xfId="4" applyFont="1"/>
    <xf numFmtId="0" fontId="108" fillId="25" borderId="20" xfId="4" applyFont="1" applyFill="1" applyBorder="1" applyAlignment="1">
      <alignment horizontal="center"/>
    </xf>
    <xf numFmtId="0" fontId="108" fillId="25" borderId="21" xfId="4" applyFont="1" applyFill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112" fillId="0" borderId="20" xfId="4" applyFont="1" applyBorder="1" applyAlignment="1">
      <alignment horizontal="center"/>
    </xf>
    <xf numFmtId="0" fontId="14" fillId="0" borderId="21" xfId="4" applyFont="1" applyBorder="1" applyAlignment="1">
      <alignment horizontal="center"/>
    </xf>
    <xf numFmtId="0" fontId="120" fillId="0" borderId="20" xfId="4" applyFont="1" applyBorder="1" applyAlignment="1">
      <alignment horizontal="center"/>
    </xf>
    <xf numFmtId="0" fontId="129" fillId="0" borderId="0" xfId="4" applyFont="1"/>
    <xf numFmtId="0" fontId="125" fillId="9" borderId="0" xfId="4" applyFont="1" applyFill="1" applyAlignment="1">
      <alignment horizontal="center"/>
    </xf>
    <xf numFmtId="0" fontId="130" fillId="9" borderId="0" xfId="4" applyFont="1" applyFill="1" applyAlignment="1">
      <alignment horizontal="center"/>
    </xf>
    <xf numFmtId="0" fontId="95" fillId="0" borderId="0" xfId="0" applyFont="1" applyAlignment="1">
      <alignment horizontal="left" vertical="center"/>
    </xf>
    <xf numFmtId="0" fontId="4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31" fillId="9" borderId="0" xfId="4" applyFont="1" applyFill="1"/>
    <xf numFmtId="0" fontId="14" fillId="0" borderId="0" xfId="4" applyFont="1" applyAlignment="1">
      <alignment horizontal="right"/>
    </xf>
    <xf numFmtId="0" fontId="132" fillId="0" borderId="0" xfId="4" applyFont="1" applyAlignment="1">
      <alignment horizontal="center"/>
    </xf>
    <xf numFmtId="0" fontId="108" fillId="25" borderId="22" xfId="4" applyFont="1" applyFill="1" applyBorder="1" applyAlignment="1">
      <alignment horizontal="center"/>
    </xf>
    <xf numFmtId="0" fontId="133" fillId="0" borderId="0" xfId="4" applyFont="1" applyAlignment="1">
      <alignment horizontal="right"/>
    </xf>
    <xf numFmtId="0" fontId="134" fillId="9" borderId="0" xfId="4" applyFont="1" applyFill="1"/>
    <xf numFmtId="0" fontId="126" fillId="0" borderId="0" xfId="4" applyFont="1"/>
    <xf numFmtId="0" fontId="14" fillId="0" borderId="0" xfId="4" applyFont="1" applyAlignment="1">
      <alignment horizontal="left"/>
    </xf>
    <xf numFmtId="0" fontId="135" fillId="0" borderId="0" xfId="4" applyFont="1" applyAlignment="1">
      <alignment horizontal="left"/>
    </xf>
    <xf numFmtId="0" fontId="136" fillId="0" borderId="0" xfId="4" applyFont="1"/>
    <xf numFmtId="0" fontId="131" fillId="0" borderId="0" xfId="4" applyFont="1"/>
    <xf numFmtId="0" fontId="125" fillId="0" borderId="0" xfId="4" applyFont="1" applyAlignment="1">
      <alignment horizontal="center"/>
    </xf>
    <xf numFmtId="0" fontId="130" fillId="0" borderId="0" xfId="4" applyFont="1" applyAlignment="1">
      <alignment horizontal="center"/>
    </xf>
    <xf numFmtId="0" fontId="137" fillId="0" borderId="0" xfId="4" applyFont="1" applyAlignment="1">
      <alignment horizontal="center"/>
    </xf>
    <xf numFmtId="0" fontId="138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4" xfId="0" applyFont="1" applyFill="1" applyBorder="1" applyAlignment="1">
      <alignment horizontal="left" vertical="center" indent="1"/>
    </xf>
    <xf numFmtId="0" fontId="23" fillId="4" borderId="13" xfId="0" applyFont="1" applyFill="1" applyBorder="1" applyAlignment="1">
      <alignment horizontal="center" vertical="center"/>
    </xf>
    <xf numFmtId="0" fontId="25" fillId="6" borderId="18" xfId="0" applyFont="1" applyFill="1" applyBorder="1" applyAlignment="1">
      <alignment horizontal="left" vertical="center" indent="1"/>
    </xf>
    <xf numFmtId="0" fontId="23" fillId="4" borderId="19" xfId="0" applyFont="1" applyFill="1" applyBorder="1" applyAlignment="1">
      <alignment horizontal="center" vertical="center"/>
    </xf>
    <xf numFmtId="0" fontId="25" fillId="6" borderId="17" xfId="0" applyFont="1" applyFill="1" applyBorder="1" applyAlignment="1">
      <alignment horizontal="left" vertical="center" indent="1"/>
    </xf>
    <xf numFmtId="0" fontId="23" fillId="4" borderId="16" xfId="0" applyFont="1" applyFill="1" applyBorder="1" applyAlignment="1">
      <alignment horizontal="center" vertical="center"/>
    </xf>
    <xf numFmtId="0" fontId="98" fillId="0" borderId="0" xfId="4" applyFont="1"/>
    <xf numFmtId="0" fontId="50" fillId="7" borderId="9" xfId="0" applyFont="1" applyFill="1" applyBorder="1" applyAlignment="1">
      <alignment horizontal="center" vertical="center"/>
    </xf>
    <xf numFmtId="177" fontId="139" fillId="2" borderId="9" xfId="0" applyNumberFormat="1" applyFont="1" applyFill="1" applyBorder="1" applyAlignment="1">
      <alignment horizontal="center" vertical="center"/>
    </xf>
    <xf numFmtId="0" fontId="139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40" fillId="2" borderId="0" xfId="0" applyFont="1" applyFill="1" applyAlignment="1">
      <alignment horizontal="center" vertical="center"/>
    </xf>
    <xf numFmtId="0" fontId="140" fillId="2" borderId="15" xfId="0" applyFont="1" applyFill="1" applyBorder="1" applyAlignment="1">
      <alignment horizontal="center" vertical="center"/>
    </xf>
    <xf numFmtId="0" fontId="23" fillId="8" borderId="12" xfId="0" applyFont="1" applyFill="1" applyBorder="1" applyAlignment="1">
      <alignment horizontal="left" vertical="center" indent="2"/>
    </xf>
    <xf numFmtId="0" fontId="23" fillId="8" borderId="15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2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15" xfId="0" quotePrefix="1" applyFont="1" applyFill="1" applyBorder="1" applyAlignment="1">
      <alignment horizontal="left" vertical="center" indent="2"/>
    </xf>
    <xf numFmtId="0" fontId="30" fillId="8" borderId="9" xfId="0" applyFont="1" applyFill="1" applyBorder="1" applyAlignment="1">
      <alignment horizontal="left" vertical="center" indent="2"/>
    </xf>
    <xf numFmtId="0" fontId="46" fillId="8" borderId="15" xfId="0" quotePrefix="1" applyFont="1" applyFill="1" applyBorder="1" applyAlignment="1">
      <alignment horizontal="center" vertical="center"/>
    </xf>
    <xf numFmtId="0" fontId="25" fillId="9" borderId="14" xfId="0" applyFont="1" applyFill="1" applyBorder="1" applyAlignment="1">
      <alignment horizontal="left" vertical="center" indent="1"/>
    </xf>
    <xf numFmtId="0" fontId="25" fillId="9" borderId="18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141" fillId="7" borderId="0" xfId="0" applyFont="1" applyFill="1" applyAlignment="1">
      <alignment horizontal="center" vertical="center"/>
    </xf>
    <xf numFmtId="0" fontId="108" fillId="25" borderId="0" xfId="4" applyFont="1" applyFill="1" applyAlignment="1">
      <alignment horizontal="center"/>
    </xf>
    <xf numFmtId="0" fontId="135" fillId="9" borderId="0" xfId="4" applyFont="1" applyFill="1" applyAlignment="1">
      <alignment horizontal="left"/>
    </xf>
    <xf numFmtId="0" fontId="14" fillId="9" borderId="0" xfId="4" applyFont="1" applyFill="1"/>
    <xf numFmtId="0" fontId="93" fillId="5" borderId="12" xfId="0" applyFont="1" applyFill="1" applyBorder="1" applyAlignment="1">
      <alignment horizontal="center" vertical="center"/>
    </xf>
    <xf numFmtId="0" fontId="94" fillId="7" borderId="12" xfId="0" applyFont="1" applyFill="1" applyBorder="1" applyAlignment="1">
      <alignment horizontal="center" vertical="center"/>
    </xf>
    <xf numFmtId="0" fontId="93" fillId="8" borderId="12" xfId="0" applyFont="1" applyFill="1" applyBorder="1" applyAlignment="1">
      <alignment horizontal="center" vertical="center"/>
    </xf>
    <xf numFmtId="0" fontId="93" fillId="2" borderId="12" xfId="0" applyFont="1" applyFill="1" applyBorder="1" applyAlignment="1">
      <alignment horizontal="center" vertical="center"/>
    </xf>
    <xf numFmtId="0" fontId="93" fillId="4" borderId="12" xfId="0" applyFont="1" applyFill="1" applyBorder="1" applyAlignment="1">
      <alignment horizontal="center" vertical="center"/>
    </xf>
    <xf numFmtId="0" fontId="142" fillId="9" borderId="14" xfId="0" applyFont="1" applyFill="1" applyBorder="1" applyAlignment="1">
      <alignment horizontal="left" vertical="center" indent="1"/>
    </xf>
    <xf numFmtId="0" fontId="142" fillId="9" borderId="18" xfId="0" applyFont="1" applyFill="1" applyBorder="1" applyAlignment="1">
      <alignment horizontal="left" vertical="center" indent="1"/>
    </xf>
    <xf numFmtId="0" fontId="142" fillId="9" borderId="17" xfId="0" applyFont="1" applyFill="1" applyBorder="1" applyAlignment="1">
      <alignment horizontal="left" vertical="center" indent="1"/>
    </xf>
    <xf numFmtId="0" fontId="142" fillId="9" borderId="8" xfId="0" applyFont="1" applyFill="1" applyBorder="1" applyAlignment="1">
      <alignment horizontal="left" vertical="center" indent="1"/>
    </xf>
    <xf numFmtId="0" fontId="142" fillId="6" borderId="14" xfId="0" applyFont="1" applyFill="1" applyBorder="1" applyAlignment="1">
      <alignment horizontal="left" vertical="center" indent="1"/>
    </xf>
    <xf numFmtId="0" fontId="142" fillId="6" borderId="17" xfId="0" applyFont="1" applyFill="1" applyBorder="1" applyAlignment="1">
      <alignment horizontal="left" vertical="center" indent="1"/>
    </xf>
    <xf numFmtId="0" fontId="142" fillId="6" borderId="18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26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6" fontId="143" fillId="2" borderId="4" xfId="0" applyNumberFormat="1" applyFont="1" applyFill="1" applyBorder="1" applyAlignment="1">
      <alignment vertical="center"/>
    </xf>
    <xf numFmtId="176" fontId="144" fillId="15" borderId="11" xfId="0" applyNumberFormat="1" applyFont="1" applyFill="1" applyBorder="1" applyAlignment="1">
      <alignment horizontal="center" vertical="center"/>
    </xf>
    <xf numFmtId="0" fontId="145" fillId="15" borderId="1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6" fontId="149" fillId="14" borderId="11" xfId="0" applyNumberFormat="1" applyFont="1" applyFill="1" applyBorder="1" applyAlignment="1">
      <alignment horizontal="center" vertical="center"/>
    </xf>
    <xf numFmtId="176" fontId="153" fillId="2" borderId="3" xfId="0" applyNumberFormat="1" applyFont="1" applyFill="1" applyBorder="1"/>
    <xf numFmtId="176" fontId="154" fillId="2" borderId="1" xfId="0" applyNumberFormat="1" applyFont="1" applyFill="1" applyBorder="1"/>
    <xf numFmtId="176" fontId="152" fillId="4" borderId="1" xfId="0" applyNumberFormat="1" applyFont="1" applyFill="1" applyBorder="1"/>
    <xf numFmtId="176" fontId="155" fillId="4" borderId="3" xfId="0" applyNumberFormat="1" applyFont="1" applyFill="1" applyBorder="1"/>
    <xf numFmtId="176" fontId="156" fillId="4" borderId="4" xfId="0" applyNumberFormat="1" applyFont="1" applyFill="1" applyBorder="1" applyAlignment="1">
      <alignment vertical="center"/>
    </xf>
    <xf numFmtId="176" fontId="156" fillId="2" borderId="4" xfId="0" applyNumberFormat="1" applyFont="1" applyFill="1" applyBorder="1" applyAlignment="1">
      <alignment vertical="center"/>
    </xf>
    <xf numFmtId="0" fontId="156" fillId="4" borderId="4" xfId="0" applyFont="1" applyFill="1" applyBorder="1" applyAlignment="1">
      <alignment vertical="center"/>
    </xf>
    <xf numFmtId="176" fontId="157" fillId="14" borderId="11" xfId="0" applyNumberFormat="1" applyFont="1" applyFill="1" applyBorder="1" applyAlignment="1">
      <alignment horizontal="center" vertical="center"/>
    </xf>
    <xf numFmtId="0" fontId="34" fillId="4" borderId="11" xfId="0" applyFont="1" applyFill="1" applyBorder="1" applyAlignment="1">
      <alignment horizontal="center" vertical="center"/>
    </xf>
    <xf numFmtId="0" fontId="49" fillId="4" borderId="11" xfId="0" applyFont="1" applyFill="1" applyBorder="1" applyAlignment="1">
      <alignment horizontal="center" vertical="center"/>
    </xf>
    <xf numFmtId="0" fontId="34" fillId="4" borderId="11" xfId="0" quotePrefix="1" applyFont="1" applyFill="1" applyBorder="1" applyAlignment="1">
      <alignment horizontal="center" vertical="center"/>
    </xf>
    <xf numFmtId="0" fontId="146" fillId="4" borderId="11" xfId="0" applyFont="1" applyFill="1" applyBorder="1" applyAlignment="1">
      <alignment horizontal="center" vertical="center"/>
    </xf>
    <xf numFmtId="0" fontId="151" fillId="4" borderId="11" xfId="0" applyFont="1" applyFill="1" applyBorder="1" applyAlignment="1">
      <alignment horizontal="center" vertical="center"/>
    </xf>
    <xf numFmtId="0" fontId="51" fillId="4" borderId="11" xfId="0" applyFont="1" applyFill="1" applyBorder="1" applyAlignment="1">
      <alignment horizontal="center" vertical="center"/>
    </xf>
    <xf numFmtId="0" fontId="27" fillId="13" borderId="23" xfId="0" applyFont="1" applyFill="1" applyBorder="1" applyAlignment="1">
      <alignment horizontal="center" vertical="center"/>
    </xf>
    <xf numFmtId="0" fontId="147" fillId="8" borderId="23" xfId="0" applyFont="1" applyFill="1" applyBorder="1" applyAlignment="1">
      <alignment horizontal="center" vertical="center"/>
    </xf>
    <xf numFmtId="0" fontId="148" fillId="2" borderId="23" xfId="0" applyFont="1" applyFill="1" applyBorder="1" applyAlignment="1">
      <alignment horizontal="center" vertical="center"/>
    </xf>
    <xf numFmtId="0" fontId="147" fillId="4" borderId="23" xfId="0" applyFont="1" applyFill="1" applyBorder="1" applyAlignment="1">
      <alignment horizontal="center" vertical="center"/>
    </xf>
    <xf numFmtId="0" fontId="27" fillId="7" borderId="23" xfId="0" applyFont="1" applyFill="1" applyBorder="1" applyAlignment="1">
      <alignment horizontal="center" vertical="center"/>
    </xf>
    <xf numFmtId="0" fontId="158" fillId="4" borderId="11" xfId="0" applyFont="1" applyFill="1" applyBorder="1" applyAlignment="1">
      <alignment horizontal="center" vertical="center"/>
    </xf>
    <xf numFmtId="0" fontId="161" fillId="7" borderId="23" xfId="0" applyFont="1" applyFill="1" applyBorder="1" applyAlignment="1">
      <alignment horizontal="center" vertical="center"/>
    </xf>
    <xf numFmtId="0" fontId="162" fillId="0" borderId="0" xfId="0" applyFont="1"/>
    <xf numFmtId="0" fontId="163" fillId="0" borderId="0" xfId="0" applyFont="1"/>
    <xf numFmtId="0" fontId="6" fillId="2" borderId="2" xfId="0" quotePrefix="1" applyFont="1" applyFill="1" applyBorder="1" applyAlignment="1">
      <alignment horizontal="center"/>
    </xf>
    <xf numFmtId="0" fontId="147" fillId="7" borderId="23" xfId="0" applyFont="1" applyFill="1" applyBorder="1" applyAlignment="1">
      <alignment horizontal="center" vertical="center"/>
    </xf>
    <xf numFmtId="0" fontId="147" fillId="2" borderId="23" xfId="0" applyFont="1" applyFill="1" applyBorder="1" applyAlignment="1">
      <alignment horizontal="center" vertical="center"/>
    </xf>
    <xf numFmtId="0" fontId="170" fillId="4" borderId="0" xfId="0" applyFont="1" applyFill="1" applyAlignment="1">
      <alignment horizontal="center" vertical="center"/>
    </xf>
    <xf numFmtId="0" fontId="171" fillId="7" borderId="0" xfId="0" applyFont="1" applyFill="1" applyAlignment="1">
      <alignment horizontal="center" vertical="center"/>
    </xf>
    <xf numFmtId="0" fontId="172" fillId="8" borderId="0" xfId="0" applyFont="1" applyFill="1" applyAlignment="1">
      <alignment horizontal="center" vertical="center"/>
    </xf>
    <xf numFmtId="0" fontId="172" fillId="2" borderId="0" xfId="0" applyFont="1" applyFill="1" applyAlignment="1">
      <alignment horizontal="center" vertical="center"/>
    </xf>
    <xf numFmtId="0" fontId="173" fillId="3" borderId="6" xfId="0" applyFont="1" applyFill="1" applyBorder="1" applyAlignment="1">
      <alignment vertical="center"/>
    </xf>
    <xf numFmtId="0" fontId="27" fillId="13" borderId="11" xfId="0" applyFont="1" applyFill="1" applyBorder="1" applyAlignment="1">
      <alignment horizontal="center" vertical="center"/>
    </xf>
    <xf numFmtId="0" fontId="159" fillId="4" borderId="11" xfId="0" applyFont="1" applyFill="1" applyBorder="1" applyAlignment="1">
      <alignment horizontal="center" vertical="center"/>
    </xf>
    <xf numFmtId="0" fontId="161" fillId="7" borderId="11" xfId="0" applyFont="1" applyFill="1" applyBorder="1" applyAlignment="1">
      <alignment horizontal="center" vertical="center"/>
    </xf>
    <xf numFmtId="0" fontId="147" fillId="8" borderId="11" xfId="0" applyFont="1" applyFill="1" applyBorder="1" applyAlignment="1">
      <alignment horizontal="center" vertical="center"/>
    </xf>
    <xf numFmtId="0" fontId="25" fillId="11" borderId="11" xfId="0" applyFont="1" applyFill="1" applyBorder="1" applyAlignment="1">
      <alignment horizontal="left" vertical="center" indent="1"/>
    </xf>
    <xf numFmtId="0" fontId="165" fillId="4" borderId="11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164" fillId="8" borderId="11" xfId="0" applyFont="1" applyFill="1" applyBorder="1" applyAlignment="1">
      <alignment horizontal="center" vertical="center"/>
    </xf>
    <xf numFmtId="0" fontId="163" fillId="9" borderId="0" xfId="0" applyFont="1" applyFill="1"/>
    <xf numFmtId="0" fontId="8" fillId="9" borderId="0" xfId="0" applyFont="1" applyFill="1"/>
    <xf numFmtId="0" fontId="91" fillId="0" borderId="0" xfId="0" applyFont="1"/>
    <xf numFmtId="0" fontId="44" fillId="0" borderId="0" xfId="4" applyFont="1"/>
    <xf numFmtId="0" fontId="174" fillId="0" borderId="0" xfId="0" applyFont="1"/>
    <xf numFmtId="0" fontId="174" fillId="0" borderId="0" xfId="4" applyFont="1"/>
    <xf numFmtId="0" fontId="175" fillId="0" borderId="0" xfId="4" applyFont="1"/>
    <xf numFmtId="0" fontId="44" fillId="9" borderId="0" xfId="4" applyFont="1" applyFill="1"/>
    <xf numFmtId="0" fontId="160" fillId="4" borderId="11" xfId="0" quotePrefix="1" applyFont="1" applyFill="1" applyBorder="1" applyAlignment="1">
      <alignment horizontal="center" vertical="center"/>
    </xf>
    <xf numFmtId="0" fontId="165" fillId="4" borderId="0" xfId="0" applyFont="1" applyFill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/>
    </xf>
    <xf numFmtId="0" fontId="30" fillId="2" borderId="19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23" fillId="4" borderId="15" xfId="0" quotePrefix="1" applyFont="1" applyFill="1" applyBorder="1" applyAlignment="1">
      <alignment horizontal="center" vertical="center"/>
    </xf>
    <xf numFmtId="0" fontId="23" fillId="4" borderId="12" xfId="0" quotePrefix="1" applyFont="1" applyFill="1" applyBorder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92" fillId="7" borderId="9" xfId="0" applyFont="1" applyFill="1" applyBorder="1" applyAlignment="1">
      <alignment horizontal="center" vertical="center"/>
    </xf>
    <xf numFmtId="0" fontId="147" fillId="8" borderId="9" xfId="0" applyFont="1" applyFill="1" applyBorder="1" applyAlignment="1">
      <alignment horizontal="center" vertical="center"/>
    </xf>
    <xf numFmtId="0" fontId="147" fillId="2" borderId="10" xfId="0" applyFont="1" applyFill="1" applyBorder="1" applyAlignment="1">
      <alignment horizontal="center" vertical="center"/>
    </xf>
    <xf numFmtId="0" fontId="147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6" borderId="0" xfId="0" applyFont="1" applyFill="1" applyAlignment="1">
      <alignment horizontal="left" vertical="center" indent="1"/>
    </xf>
    <xf numFmtId="0" fontId="25" fillId="26" borderId="12" xfId="0" applyFont="1" applyFill="1" applyBorder="1" applyAlignment="1">
      <alignment horizontal="left" vertical="center" indent="1"/>
    </xf>
    <xf numFmtId="0" fontId="25" fillId="26" borderId="15" xfId="0" applyFont="1" applyFill="1" applyBorder="1" applyAlignment="1">
      <alignment horizontal="left" vertical="center" indent="1"/>
    </xf>
    <xf numFmtId="0" fontId="25" fillId="11" borderId="14" xfId="0" applyFont="1" applyFill="1" applyBorder="1" applyAlignment="1">
      <alignment horizontal="left" vertical="center" indent="1"/>
    </xf>
    <xf numFmtId="0" fontId="25" fillId="11" borderId="18" xfId="0" applyFont="1" applyFill="1" applyBorder="1" applyAlignment="1">
      <alignment horizontal="left" vertical="center" indent="1"/>
    </xf>
    <xf numFmtId="0" fontId="25" fillId="11" borderId="17" xfId="0" applyFont="1" applyFill="1" applyBorder="1" applyAlignment="1">
      <alignment horizontal="left" vertical="center" indent="1"/>
    </xf>
    <xf numFmtId="0" fontId="176" fillId="0" borderId="0" xfId="0" applyFont="1" applyAlignment="1">
      <alignment horizontal="left" vertical="center"/>
    </xf>
    <xf numFmtId="0" fontId="178" fillId="0" borderId="0" xfId="0" applyFont="1" applyAlignment="1">
      <alignment horizontal="left" vertical="center" indent="1"/>
    </xf>
    <xf numFmtId="0" fontId="178" fillId="0" borderId="0" xfId="0" applyFont="1" applyAlignment="1">
      <alignment horizontal="center" vertical="center"/>
    </xf>
    <xf numFmtId="0" fontId="179" fillId="0" borderId="0" xfId="0" applyFont="1" applyAlignment="1">
      <alignment horizontal="left" vertical="center"/>
    </xf>
    <xf numFmtId="0" fontId="159" fillId="4" borderId="23" xfId="0" applyFont="1" applyFill="1" applyBorder="1" applyAlignment="1">
      <alignment horizontal="center" vertical="center"/>
    </xf>
    <xf numFmtId="0" fontId="180" fillId="9" borderId="0" xfId="0" applyFont="1" applyFill="1" applyAlignment="1">
      <alignment horizontal="left" vertical="center" indent="1"/>
    </xf>
    <xf numFmtId="0" fontId="24" fillId="9" borderId="0" xfId="0" applyFont="1" applyFill="1" applyAlignment="1">
      <alignment horizontal="left" vertical="center" indent="1"/>
    </xf>
    <xf numFmtId="0" fontId="98" fillId="4" borderId="12" xfId="0" quotePrefix="1" applyFont="1" applyFill="1" applyBorder="1" applyAlignment="1">
      <alignment horizontal="center" vertical="center"/>
    </xf>
    <xf numFmtId="0" fontId="136" fillId="9" borderId="0" xfId="0" applyFont="1" applyFill="1" applyAlignment="1">
      <alignment horizontal="left" vertical="center"/>
    </xf>
    <xf numFmtId="0" fontId="162" fillId="0" borderId="0" xfId="0" applyFont="1" applyAlignment="1">
      <alignment horizontal="right"/>
    </xf>
    <xf numFmtId="0" fontId="181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82" fillId="9" borderId="0" xfId="0" applyFont="1" applyFill="1" applyAlignment="1">
      <alignment horizontal="left" vertical="center" indent="1"/>
    </xf>
    <xf numFmtId="0" fontId="183" fillId="0" borderId="0" xfId="0" applyFont="1" applyAlignment="1">
      <alignment horizontal="left" vertical="center" indent="1"/>
    </xf>
    <xf numFmtId="0" fontId="184" fillId="12" borderId="0" xfId="0" applyFont="1" applyFill="1" applyAlignment="1">
      <alignment horizontal="left" vertical="center" indent="1"/>
    </xf>
    <xf numFmtId="0" fontId="185" fillId="0" borderId="0" xfId="0" applyFont="1" applyAlignment="1">
      <alignment horizontal="left" vertical="center" indent="1"/>
    </xf>
    <xf numFmtId="0" fontId="186" fillId="0" borderId="0" xfId="0" applyFont="1" applyAlignment="1">
      <alignment horizontal="left" vertical="center"/>
    </xf>
    <xf numFmtId="0" fontId="187" fillId="0" borderId="0" xfId="0" applyFont="1" applyAlignment="1">
      <alignment horizontal="center" vertical="center"/>
    </xf>
    <xf numFmtId="0" fontId="185" fillId="0" borderId="0" xfId="0" applyFont="1" applyAlignment="1">
      <alignment horizontal="left" vertical="center" indent="3"/>
    </xf>
    <xf numFmtId="0" fontId="185" fillId="0" borderId="0" xfId="0" applyFont="1" applyAlignment="1">
      <alignment horizontal="center" vertical="center"/>
    </xf>
    <xf numFmtId="0" fontId="188" fillId="0" borderId="0" xfId="0" applyFont="1" applyAlignment="1">
      <alignment horizontal="left" vertical="center"/>
    </xf>
    <xf numFmtId="0" fontId="189" fillId="9" borderId="0" xfId="0" applyFont="1" applyFill="1" applyAlignment="1">
      <alignment horizontal="left" vertical="center"/>
    </xf>
    <xf numFmtId="0" fontId="185" fillId="9" borderId="0" xfId="0" applyFont="1" applyFill="1" applyAlignment="1">
      <alignment horizontal="left" vertical="center" indent="1"/>
    </xf>
    <xf numFmtId="49" fontId="23" fillId="4" borderId="0" xfId="0" applyNumberFormat="1" applyFont="1" applyFill="1" applyAlignment="1">
      <alignment horizontal="center" vertical="center"/>
    </xf>
    <xf numFmtId="49" fontId="26" fillId="7" borderId="0" xfId="0" applyNumberFormat="1" applyFont="1" applyFill="1" applyAlignment="1">
      <alignment horizontal="center" vertical="center"/>
    </xf>
    <xf numFmtId="49" fontId="164" fillId="8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90" fillId="0" borderId="0" xfId="5"/>
    <xf numFmtId="0" fontId="56" fillId="0" borderId="0" xfId="5" applyFont="1"/>
    <xf numFmtId="0" fontId="190" fillId="0" borderId="0" xfId="5" applyAlignment="1">
      <alignment vertical="center"/>
    </xf>
    <xf numFmtId="0" fontId="23" fillId="4" borderId="0" xfId="5" applyFont="1" applyFill="1" applyAlignment="1">
      <alignment horizontal="left" vertical="center" indent="1"/>
    </xf>
    <xf numFmtId="0" fontId="23" fillId="2" borderId="0" xfId="5" applyFont="1" applyFill="1" applyAlignment="1">
      <alignment horizontal="left" vertical="center" indent="1"/>
    </xf>
    <xf numFmtId="0" fontId="23" fillId="8" borderId="0" xfId="5" applyFont="1" applyFill="1" applyAlignment="1">
      <alignment horizontal="left" vertical="center" indent="1"/>
    </xf>
    <xf numFmtId="0" fontId="26" fillId="7" borderId="0" xfId="5" applyFont="1" applyFill="1" applyAlignment="1">
      <alignment horizontal="left" vertical="center" indent="1"/>
    </xf>
    <xf numFmtId="0" fontId="25" fillId="11" borderId="0" xfId="5" applyFont="1" applyFill="1" applyAlignment="1">
      <alignment horizontal="left" vertical="center" indent="1"/>
    </xf>
    <xf numFmtId="0" fontId="16" fillId="0" borderId="0" xfId="5" applyFont="1"/>
    <xf numFmtId="0" fontId="16" fillId="0" borderId="0" xfId="5" applyFont="1" applyAlignment="1">
      <alignment vertical="center"/>
    </xf>
    <xf numFmtId="0" fontId="16" fillId="9" borderId="0" xfId="4" applyFont="1" applyFill="1" applyAlignment="1">
      <alignment vertical="center"/>
    </xf>
    <xf numFmtId="0" fontId="18" fillId="9" borderId="0" xfId="4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37" fillId="14" borderId="0" xfId="4" applyFont="1" applyFill="1" applyAlignment="1">
      <alignment vertical="center"/>
    </xf>
    <xf numFmtId="0" fontId="37" fillId="14" borderId="0" xfId="4" applyFont="1" applyFill="1" applyAlignment="1">
      <alignment horizontal="center" vertical="center"/>
    </xf>
    <xf numFmtId="0" fontId="16" fillId="16" borderId="0" xfId="4" applyFont="1" applyFill="1" applyAlignment="1">
      <alignment vertical="center"/>
    </xf>
    <xf numFmtId="0" fontId="16" fillId="16" borderId="0" xfId="4" applyFont="1" applyFill="1" applyAlignment="1">
      <alignment horizontal="center" vertical="center"/>
    </xf>
    <xf numFmtId="0" fontId="17" fillId="16" borderId="0" xfId="4" applyFont="1" applyFill="1" applyAlignment="1">
      <alignment vertical="center"/>
    </xf>
    <xf numFmtId="0" fontId="16" fillId="0" borderId="0" xfId="4" applyFont="1" applyAlignment="1">
      <alignment vertical="center"/>
    </xf>
    <xf numFmtId="0" fontId="121" fillId="0" borderId="0" xfId="4" applyFont="1" applyAlignment="1">
      <alignment vertical="center"/>
    </xf>
    <xf numFmtId="0" fontId="58" fillId="0" borderId="0" xfId="4" applyFont="1" applyAlignment="1">
      <alignment vertical="center"/>
    </xf>
    <xf numFmtId="0" fontId="16" fillId="9" borderId="0" xfId="5" applyFont="1" applyFill="1" applyAlignment="1">
      <alignment vertical="center"/>
    </xf>
    <xf numFmtId="0" fontId="16" fillId="16" borderId="0" xfId="5" applyFont="1" applyFill="1" applyAlignment="1">
      <alignment vertical="center"/>
    </xf>
    <xf numFmtId="0" fontId="20" fillId="16" borderId="0" xfId="5" applyFont="1" applyFill="1" applyAlignment="1">
      <alignment vertical="center"/>
    </xf>
    <xf numFmtId="0" fontId="21" fillId="16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36" fillId="10" borderId="0" xfId="5" applyFont="1" applyFill="1" applyAlignment="1">
      <alignment vertical="center"/>
    </xf>
    <xf numFmtId="0" fontId="16" fillId="0" borderId="0" xfId="4" applyFont="1"/>
    <xf numFmtId="0" fontId="58" fillId="0" borderId="0" xfId="4" applyFont="1"/>
    <xf numFmtId="0" fontId="101" fillId="0" borderId="0" xfId="5" applyFont="1" applyAlignment="1">
      <alignment horizontal="center" vertical="center"/>
    </xf>
    <xf numFmtId="0" fontId="4" fillId="0" borderId="0" xfId="5" applyFont="1"/>
    <xf numFmtId="0" fontId="15" fillId="0" borderId="0" xfId="5" applyFont="1"/>
    <xf numFmtId="176" fontId="191" fillId="15" borderId="11" xfId="5" quotePrefix="1" applyNumberFormat="1" applyFont="1" applyFill="1" applyBorder="1" applyAlignment="1">
      <alignment horizontal="center" vertical="center"/>
    </xf>
    <xf numFmtId="176" fontId="191" fillId="15" borderId="11" xfId="5" applyNumberFormat="1" applyFont="1" applyFill="1" applyBorder="1" applyAlignment="1">
      <alignment horizontal="center" vertical="center"/>
    </xf>
    <xf numFmtId="176" fontId="192" fillId="15" borderId="11" xfId="5" applyNumberFormat="1" applyFont="1" applyFill="1" applyBorder="1" applyAlignment="1">
      <alignment horizontal="center" vertical="center"/>
    </xf>
    <xf numFmtId="176" fontId="192" fillId="3" borderId="11" xfId="5" applyNumberFormat="1" applyFont="1" applyFill="1" applyBorder="1" applyAlignment="1">
      <alignment horizontal="center" vertical="center"/>
    </xf>
    <xf numFmtId="0" fontId="193" fillId="15" borderId="10" xfId="5" applyFont="1" applyFill="1" applyBorder="1" applyAlignment="1">
      <alignment vertical="center"/>
    </xf>
    <xf numFmtId="0" fontId="193" fillId="15" borderId="8" xfId="5" applyFont="1" applyFill="1" applyBorder="1" applyAlignment="1">
      <alignment vertical="center"/>
    </xf>
    <xf numFmtId="0" fontId="14" fillId="0" borderId="0" xfId="5" applyFont="1" applyAlignment="1">
      <alignment horizontal="center" vertical="center"/>
    </xf>
    <xf numFmtId="176" fontId="191" fillId="8" borderId="11" xfId="5" applyNumberFormat="1" applyFont="1" applyFill="1" applyBorder="1" applyAlignment="1">
      <alignment horizontal="center" vertical="center"/>
    </xf>
    <xf numFmtId="176" fontId="191" fillId="8" borderId="11" xfId="5" quotePrefix="1" applyNumberFormat="1" applyFont="1" applyFill="1" applyBorder="1" applyAlignment="1">
      <alignment horizontal="center" vertical="center"/>
    </xf>
    <xf numFmtId="0" fontId="193" fillId="8" borderId="10" xfId="5" applyFont="1" applyFill="1" applyBorder="1" applyAlignment="1">
      <alignment vertical="center"/>
    </xf>
    <xf numFmtId="0" fontId="193" fillId="8" borderId="8" xfId="5" applyFont="1" applyFill="1" applyBorder="1" applyAlignment="1">
      <alignment vertical="center"/>
    </xf>
    <xf numFmtId="176" fontId="43" fillId="14" borderId="11" xfId="5" applyNumberFormat="1" applyFont="1" applyFill="1" applyBorder="1" applyAlignment="1">
      <alignment horizontal="center" vertical="center"/>
    </xf>
    <xf numFmtId="176" fontId="38" fillId="14" borderId="11" xfId="5" applyNumberFormat="1" applyFont="1" applyFill="1" applyBorder="1" applyAlignment="1">
      <alignment horizontal="left" vertical="center"/>
    </xf>
    <xf numFmtId="176" fontId="194" fillId="14" borderId="11" xfId="5" applyNumberFormat="1" applyFont="1" applyFill="1" applyBorder="1" applyAlignment="1">
      <alignment horizontal="left" vertical="center"/>
    </xf>
    <xf numFmtId="176" fontId="195" fillId="14" borderId="11" xfId="5" applyNumberFormat="1" applyFont="1" applyFill="1" applyBorder="1" applyAlignment="1">
      <alignment horizontal="left" vertical="center"/>
    </xf>
    <xf numFmtId="0" fontId="196" fillId="14" borderId="10" xfId="5" applyFont="1" applyFill="1" applyBorder="1" applyAlignment="1">
      <alignment vertical="center"/>
    </xf>
    <xf numFmtId="0" fontId="196" fillId="14" borderId="8" xfId="5" applyFont="1" applyFill="1" applyBorder="1" applyAlignment="1">
      <alignment vertical="center"/>
    </xf>
    <xf numFmtId="176" fontId="191" fillId="4" borderId="11" xfId="5" applyNumberFormat="1" applyFont="1" applyFill="1" applyBorder="1" applyAlignment="1">
      <alignment horizontal="center" vertical="center"/>
    </xf>
    <xf numFmtId="176" fontId="191" fillId="4" borderId="11" xfId="5" quotePrefix="1" applyNumberFormat="1" applyFont="1" applyFill="1" applyBorder="1" applyAlignment="1">
      <alignment horizontal="center" vertical="center"/>
    </xf>
    <xf numFmtId="0" fontId="193" fillId="4" borderId="10" xfId="5" applyFont="1" applyFill="1" applyBorder="1" applyAlignment="1">
      <alignment vertical="center"/>
    </xf>
    <xf numFmtId="0" fontId="193" fillId="4" borderId="8" xfId="5" applyFont="1" applyFill="1" applyBorder="1" applyAlignment="1">
      <alignment vertical="center"/>
    </xf>
    <xf numFmtId="0" fontId="33" fillId="0" borderId="0" xfId="5" applyFont="1"/>
    <xf numFmtId="0" fontId="32" fillId="6" borderId="11" xfId="5" applyFont="1" applyFill="1" applyBorder="1" applyAlignment="1">
      <alignment horizontal="center" vertical="center"/>
    </xf>
    <xf numFmtId="0" fontId="18" fillId="6" borderId="11" xfId="5" applyFont="1" applyFill="1" applyBorder="1" applyAlignment="1">
      <alignment horizontal="center" vertical="center"/>
    </xf>
    <xf numFmtId="0" fontId="197" fillId="6" borderId="11" xfId="5" applyFont="1" applyFill="1" applyBorder="1" applyAlignment="1">
      <alignment horizontal="center" vertical="center"/>
    </xf>
    <xf numFmtId="0" fontId="198" fillId="5" borderId="10" xfId="5" applyFont="1" applyFill="1" applyBorder="1" applyAlignment="1">
      <alignment vertical="center"/>
    </xf>
    <xf numFmtId="0" fontId="198" fillId="5" borderId="8" xfId="5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8" fillId="0" borderId="0" xfId="5" applyFont="1"/>
    <xf numFmtId="0" fontId="10" fillId="4" borderId="6" xfId="5" quotePrefix="1" applyFont="1" applyFill="1" applyBorder="1" applyAlignment="1">
      <alignment vertical="center"/>
    </xf>
    <xf numFmtId="176" fontId="35" fillId="4" borderId="5" xfId="5" applyNumberFormat="1" applyFont="1" applyFill="1" applyBorder="1" applyAlignment="1">
      <alignment vertical="center"/>
    </xf>
    <xf numFmtId="176" fontId="9" fillId="4" borderId="4" xfId="5" applyNumberFormat="1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35" fillId="4" borderId="5" xfId="5" applyFont="1" applyFill="1" applyBorder="1" applyAlignment="1">
      <alignment vertical="center"/>
    </xf>
    <xf numFmtId="0" fontId="199" fillId="4" borderId="6" xfId="5" applyFont="1" applyFill="1" applyBorder="1" applyAlignment="1">
      <alignment vertical="center" wrapText="1"/>
    </xf>
    <xf numFmtId="0" fontId="10" fillId="2" borderId="6" xfId="5" applyFont="1" applyFill="1" applyBorder="1" applyAlignment="1">
      <alignment vertical="center"/>
    </xf>
    <xf numFmtId="176" fontId="35" fillId="2" borderId="5" xfId="5" applyNumberFormat="1" applyFont="1" applyFill="1" applyBorder="1" applyAlignment="1">
      <alignment vertical="center"/>
    </xf>
    <xf numFmtId="176" fontId="9" fillId="2" borderId="4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0" fontId="5" fillId="0" borderId="0" xfId="5" applyFont="1" applyAlignment="1">
      <alignment horizontal="center"/>
    </xf>
    <xf numFmtId="0" fontId="200" fillId="0" borderId="0" xfId="5" applyFont="1"/>
    <xf numFmtId="0" fontId="7" fillId="4" borderId="24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176" fontId="7" fillId="4" borderId="25" xfId="5" applyNumberFormat="1" applyFont="1" applyFill="1" applyBorder="1" applyAlignment="1">
      <alignment horizontal="center"/>
    </xf>
    <xf numFmtId="0" fontId="6" fillId="4" borderId="24" xfId="5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5" xfId="5" applyFont="1" applyFill="1" applyBorder="1" applyAlignment="1">
      <alignment horizontal="center"/>
    </xf>
    <xf numFmtId="176" fontId="6" fillId="4" borderId="25" xfId="5" applyNumberFormat="1" applyFont="1" applyFill="1" applyBorder="1" applyAlignment="1">
      <alignment horizontal="center"/>
    </xf>
    <xf numFmtId="0" fontId="6" fillId="2" borderId="24" xfId="5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5" xfId="5" applyFont="1" applyFill="1" applyBorder="1" applyAlignment="1">
      <alignment horizontal="center"/>
    </xf>
    <xf numFmtId="176" fontId="6" fillId="2" borderId="24" xfId="5" applyNumberFormat="1" applyFont="1" applyFill="1" applyBorder="1" applyAlignment="1">
      <alignment horizontal="center"/>
    </xf>
    <xf numFmtId="176" fontId="6" fillId="2" borderId="25" xfId="5" applyNumberFormat="1" applyFont="1" applyFill="1" applyBorder="1" applyAlignment="1">
      <alignment horizontal="center"/>
    </xf>
    <xf numFmtId="0" fontId="13" fillId="4" borderId="6" xfId="5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199" fillId="2" borderId="6" xfId="5" applyFont="1" applyFill="1" applyBorder="1" applyAlignment="1">
      <alignment vertical="center"/>
    </xf>
    <xf numFmtId="176" fontId="48" fillId="2" borderId="4" xfId="5" applyNumberFormat="1" applyFont="1" applyFill="1" applyBorder="1" applyAlignment="1">
      <alignment vertical="center"/>
    </xf>
    <xf numFmtId="0" fontId="7" fillId="4" borderId="25" xfId="5" applyFont="1" applyFill="1" applyBorder="1" applyAlignment="1">
      <alignment horizontal="center"/>
    </xf>
    <xf numFmtId="0" fontId="6" fillId="0" borderId="0" xfId="5" applyFont="1" applyAlignment="1">
      <alignment horizontal="center"/>
    </xf>
    <xf numFmtId="176" fontId="10" fillId="4" borderId="6" xfId="5" applyNumberFormat="1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99" fillId="2" borderId="6" xfId="5" applyFont="1" applyFill="1" applyBorder="1" applyAlignment="1">
      <alignment vertical="center" wrapText="1"/>
    </xf>
    <xf numFmtId="0" fontId="12" fillId="3" borderId="6" xfId="5" applyFont="1" applyFill="1" applyBorder="1" applyAlignment="1">
      <alignment vertical="center"/>
    </xf>
    <xf numFmtId="0" fontId="10" fillId="2" borderId="6" xfId="5" applyFont="1" applyFill="1" applyBorder="1" applyAlignment="1">
      <alignment vertical="center" wrapText="1"/>
    </xf>
    <xf numFmtId="0" fontId="6" fillId="3" borderId="24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5" xfId="5" applyFont="1" applyFill="1" applyBorder="1" applyAlignment="1">
      <alignment horizontal="center"/>
    </xf>
    <xf numFmtId="9" fontId="6" fillId="3" borderId="24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5" xfId="5" applyNumberFormat="1" applyFont="1" applyFill="1" applyBorder="1" applyAlignment="1">
      <alignment horizontal="center"/>
    </xf>
    <xf numFmtId="0" fontId="27" fillId="4" borderId="7" xfId="5" applyFont="1" applyFill="1" applyBorder="1" applyAlignment="1">
      <alignment horizontal="center" vertical="center"/>
    </xf>
    <xf numFmtId="0" fontId="28" fillId="7" borderId="7" xfId="5" applyFont="1" applyFill="1" applyBorder="1" applyAlignment="1">
      <alignment horizontal="center" vertical="center"/>
    </xf>
    <xf numFmtId="0" fontId="27" fillId="13" borderId="7" xfId="5" applyFont="1" applyFill="1" applyBorder="1" applyAlignment="1">
      <alignment horizontal="center" vertical="center"/>
    </xf>
    <xf numFmtId="0" fontId="101" fillId="0" borderId="0" xfId="5" applyFont="1" applyAlignment="1">
      <alignment horizontal="center"/>
    </xf>
    <xf numFmtId="49" fontId="110" fillId="24" borderId="0" xfId="4" applyNumberFormat="1" applyFont="1" applyFill="1" applyAlignment="1">
      <alignment horizontal="center"/>
    </xf>
    <xf numFmtId="0" fontId="201" fillId="0" borderId="0" xfId="4" applyFont="1" applyAlignment="1">
      <alignment horizontal="center" vertical="center"/>
    </xf>
    <xf numFmtId="0" fontId="103" fillId="11" borderId="0" xfId="4" quotePrefix="1" applyFont="1" applyFill="1" applyAlignment="1">
      <alignment horizontal="center"/>
    </xf>
    <xf numFmtId="0" fontId="202" fillId="24" borderId="0" xfId="4" applyFont="1" applyFill="1" applyAlignment="1">
      <alignment horizontal="center"/>
    </xf>
    <xf numFmtId="0" fontId="203" fillId="0" borderId="0" xfId="4" applyFont="1" applyAlignment="1">
      <alignment horizontal="center" vertical="center"/>
    </xf>
    <xf numFmtId="176" fontId="6" fillId="4" borderId="24" xfId="5" applyNumberFormat="1" applyFont="1" applyFill="1" applyBorder="1" applyAlignment="1">
      <alignment horizontal="center"/>
    </xf>
    <xf numFmtId="0" fontId="56" fillId="9" borderId="0" xfId="5" applyFont="1" applyFill="1"/>
    <xf numFmtId="0" fontId="204" fillId="0" borderId="0" xfId="4" applyFont="1" applyAlignment="1">
      <alignment horizontal="right"/>
    </xf>
    <xf numFmtId="0" fontId="205" fillId="9" borderId="0" xfId="4" applyFont="1" applyFill="1" applyAlignment="1">
      <alignment horizontal="center"/>
    </xf>
    <xf numFmtId="0" fontId="125" fillId="9" borderId="0" xfId="4" applyFont="1" applyFill="1"/>
    <xf numFmtId="0" fontId="205" fillId="9" borderId="0" xfId="4" applyFont="1" applyFill="1"/>
    <xf numFmtId="0" fontId="136" fillId="9" borderId="0" xfId="0" applyFont="1" applyFill="1"/>
    <xf numFmtId="0" fontId="147" fillId="8" borderId="7" xfId="5" applyFont="1" applyFill="1" applyBorder="1" applyAlignment="1">
      <alignment horizontal="center" vertical="center"/>
    </xf>
    <xf numFmtId="0" fontId="147" fillId="2" borderId="7" xfId="5" applyFont="1" applyFill="1" applyBorder="1" applyAlignment="1">
      <alignment horizontal="center" vertical="center"/>
    </xf>
    <xf numFmtId="0" fontId="206" fillId="0" borderId="0" xfId="4" applyFont="1"/>
    <xf numFmtId="0" fontId="208" fillId="0" borderId="0" xfId="4" applyFont="1" applyAlignment="1">
      <alignment horizontal="center" vertical="center"/>
    </xf>
    <xf numFmtId="0" fontId="209" fillId="26" borderId="0" xfId="4" applyFont="1" applyFill="1"/>
    <xf numFmtId="0" fontId="108" fillId="0" borderId="0" xfId="4" applyFont="1" applyAlignment="1">
      <alignment horizontal="center" vertical="center"/>
    </xf>
    <xf numFmtId="0" fontId="112" fillId="0" borderId="0" xfId="4" applyFont="1" applyAlignment="1">
      <alignment horizontal="center" vertical="center"/>
    </xf>
    <xf numFmtId="0" fontId="129" fillId="0" borderId="0" xfId="4" applyFont="1" applyAlignment="1">
      <alignment horizontal="center" vertical="center"/>
    </xf>
    <xf numFmtId="0" fontId="125" fillId="0" borderId="0" xfId="4" applyFont="1" applyAlignment="1">
      <alignment horizontal="center" vertical="center"/>
    </xf>
    <xf numFmtId="0" fontId="137" fillId="0" borderId="0" xfId="4" applyFont="1" applyAlignment="1">
      <alignment horizontal="center" vertical="center"/>
    </xf>
    <xf numFmtId="0" fontId="138" fillId="0" borderId="0" xfId="4" applyFont="1" applyAlignment="1">
      <alignment horizontal="center" vertical="center"/>
    </xf>
    <xf numFmtId="0" fontId="207" fillId="0" borderId="0" xfId="4" applyFont="1" applyAlignment="1">
      <alignment horizontal="center" vertical="center"/>
    </xf>
    <xf numFmtId="0" fontId="108" fillId="27" borderId="0" xfId="4" applyFont="1" applyFill="1" applyAlignment="1">
      <alignment horizontal="center" vertical="center"/>
    </xf>
    <xf numFmtId="0" fontId="206" fillId="0" borderId="0" xfId="5" applyFont="1"/>
    <xf numFmtId="0" fontId="46" fillId="0" borderId="20" xfId="4" applyFont="1" applyBorder="1" applyAlignment="1">
      <alignment horizontal="center"/>
    </xf>
    <xf numFmtId="176" fontId="199" fillId="2" borderId="6" xfId="5" applyNumberFormat="1" applyFont="1" applyFill="1" applyBorder="1" applyAlignment="1">
      <alignment vertical="center" wrapText="1"/>
    </xf>
    <xf numFmtId="176" fontId="199" fillId="2" borderId="6" xfId="5" applyNumberFormat="1" applyFont="1" applyFill="1" applyBorder="1" applyAlignment="1">
      <alignment vertical="center"/>
    </xf>
    <xf numFmtId="176" fontId="199" fillId="4" borderId="6" xfId="5" applyNumberFormat="1" applyFont="1" applyFill="1" applyBorder="1" applyAlignment="1">
      <alignment vertical="center" wrapText="1"/>
    </xf>
    <xf numFmtId="176" fontId="10" fillId="4" borderId="6" xfId="5" quotePrefix="1" applyNumberFormat="1" applyFont="1" applyFill="1" applyBorder="1" applyAlignment="1">
      <alignment vertical="center"/>
    </xf>
    <xf numFmtId="176" fontId="7" fillId="4" borderId="24" xfId="5" applyNumberFormat="1" applyFont="1" applyFill="1" applyBorder="1" applyAlignment="1">
      <alignment horizontal="center"/>
    </xf>
    <xf numFmtId="0" fontId="91" fillId="7" borderId="0" xfId="5" applyFont="1" applyFill="1" applyAlignment="1">
      <alignment horizontal="left" vertical="center" indent="1"/>
    </xf>
    <xf numFmtId="0" fontId="23" fillId="4" borderId="19" xfId="0" quotePrefix="1" applyFont="1" applyFill="1" applyBorder="1" applyAlignment="1">
      <alignment horizontal="center" vertical="center"/>
    </xf>
    <xf numFmtId="0" fontId="23" fillId="4" borderId="16" xfId="0" quotePrefix="1" applyFont="1" applyFill="1" applyBorder="1" applyAlignment="1">
      <alignment horizontal="center" vertical="center"/>
    </xf>
    <xf numFmtId="0" fontId="27" fillId="5" borderId="14" xfId="0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92" fillId="7" borderId="12" xfId="0" applyFont="1" applyFill="1" applyBorder="1" applyAlignment="1">
      <alignment horizontal="center" vertical="center"/>
    </xf>
    <xf numFmtId="0" fontId="147" fillId="8" borderId="12" xfId="0" applyFont="1" applyFill="1" applyBorder="1" applyAlignment="1">
      <alignment horizontal="center" vertical="center"/>
    </xf>
    <xf numFmtId="0" fontId="147" fillId="2" borderId="13" xfId="0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30" fillId="2" borderId="16" xfId="0" applyFont="1" applyFill="1" applyBorder="1" applyAlignment="1">
      <alignment horizontal="center" vertical="center"/>
    </xf>
    <xf numFmtId="176" fontId="210" fillId="4" borderId="11" xfId="5" applyNumberFormat="1" applyFont="1" applyFill="1" applyBorder="1" applyAlignment="1">
      <alignment horizontal="center" vertical="center"/>
    </xf>
    <xf numFmtId="176" fontId="211" fillId="14" borderId="11" xfId="5" applyNumberFormat="1" applyFont="1" applyFill="1" applyBorder="1" applyAlignment="1">
      <alignment horizontal="center" vertical="center"/>
    </xf>
    <xf numFmtId="176" fontId="210" fillId="8" borderId="11" xfId="5" applyNumberFormat="1" applyFont="1" applyFill="1" applyBorder="1" applyAlignment="1">
      <alignment horizontal="center" vertical="center"/>
    </xf>
    <xf numFmtId="0" fontId="191" fillId="15" borderId="11" xfId="5" applyFont="1" applyFill="1" applyBorder="1" applyAlignment="1">
      <alignment horizontal="center" vertical="center"/>
    </xf>
    <xf numFmtId="0" fontId="210" fillId="15" borderId="11" xfId="5" applyFont="1" applyFill="1" applyBorder="1" applyAlignment="1">
      <alignment horizontal="center" vertical="center"/>
    </xf>
    <xf numFmtId="0" fontId="16" fillId="9" borderId="0" xfId="5" applyFont="1" applyFill="1" applyAlignment="1">
      <alignment horizontal="center" vertical="center"/>
    </xf>
    <xf numFmtId="0" fontId="16" fillId="0" borderId="0" xfId="5" quotePrefix="1" applyFont="1" applyAlignment="1">
      <alignment vertic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126" fillId="3" borderId="4" xfId="5" applyFont="1" applyFill="1" applyBorder="1" applyAlignment="1">
      <alignment horizontal="center"/>
    </xf>
    <xf numFmtId="0" fontId="126" fillId="3" borderId="5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76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6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176" fontId="11" fillId="3" borderId="4" xfId="0" applyNumberFormat="1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20" fillId="10" borderId="0" xfId="2" applyFont="1" applyFill="1" applyAlignment="1">
      <alignment horizontal="left" vertical="center"/>
    </xf>
    <xf numFmtId="0" fontId="18" fillId="9" borderId="0" xfId="2" applyFont="1" applyFill="1" applyAlignment="1">
      <alignment horizontal="left" vertic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176" fontId="11" fillId="3" borderId="5" xfId="0" applyNumberFormat="1" applyFont="1" applyFill="1" applyBorder="1" applyAlignment="1">
      <alignment horizontal="center"/>
    </xf>
    <xf numFmtId="0" fontId="87" fillId="16" borderId="1" xfId="3" quotePrefix="1" applyFont="1" applyFill="1" applyBorder="1" applyAlignment="1">
      <alignment horizontal="center"/>
    </xf>
    <xf numFmtId="0" fontId="71" fillId="16" borderId="2" xfId="3" applyFont="1" applyFill="1" applyBorder="1" applyAlignment="1">
      <alignment horizontal="center"/>
    </xf>
    <xf numFmtId="0" fontId="71" fillId="16" borderId="3" xfId="3" applyFont="1" applyFill="1" applyBorder="1" applyAlignment="1">
      <alignment horizontal="center"/>
    </xf>
    <xf numFmtId="0" fontId="76" fillId="16" borderId="4" xfId="3" quotePrefix="1" applyFont="1" applyFill="1" applyBorder="1" applyAlignment="1">
      <alignment horizontal="center"/>
    </xf>
    <xf numFmtId="0" fontId="75" fillId="16" borderId="5" xfId="3" applyFont="1" applyFill="1" applyBorder="1" applyAlignment="1">
      <alignment horizontal="center"/>
    </xf>
    <xf numFmtId="0" fontId="75" fillId="16" borderId="6" xfId="3" applyFont="1" applyFill="1" applyBorder="1" applyAlignment="1">
      <alignment horizontal="center"/>
    </xf>
    <xf numFmtId="0" fontId="79" fillId="16" borderId="1" xfId="3" applyFont="1" applyFill="1" applyBorder="1" applyAlignment="1">
      <alignment horizontal="center"/>
    </xf>
    <xf numFmtId="0" fontId="7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7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74" fillId="16" borderId="4" xfId="3" applyFont="1" applyFill="1" applyBorder="1" applyAlignment="1">
      <alignment horizontal="center"/>
    </xf>
    <xf numFmtId="0" fontId="73" fillId="16" borderId="5" xfId="3" applyFont="1" applyFill="1" applyBorder="1" applyAlignment="1">
      <alignment horizontal="center"/>
    </xf>
    <xf numFmtId="0" fontId="73" fillId="16" borderId="6" xfId="3" applyFont="1" applyFill="1" applyBorder="1" applyAlignment="1">
      <alignment horizontal="center"/>
    </xf>
    <xf numFmtId="0" fontId="90" fillId="9" borderId="1" xfId="3" applyFont="1" applyFill="1" applyBorder="1" applyAlignment="1">
      <alignment horizontal="center"/>
    </xf>
    <xf numFmtId="0" fontId="89" fillId="9" borderId="2" xfId="3" applyFont="1" applyFill="1" applyBorder="1" applyAlignment="1">
      <alignment horizontal="center"/>
    </xf>
    <xf numFmtId="0" fontId="89" fillId="9" borderId="3" xfId="3" applyFont="1" applyFill="1" applyBorder="1" applyAlignment="1">
      <alignment horizontal="center"/>
    </xf>
    <xf numFmtId="0" fontId="73" fillId="16" borderId="4" xfId="3" applyFont="1" applyFill="1" applyBorder="1" applyAlignment="1">
      <alignment horizontal="center"/>
    </xf>
    <xf numFmtId="0" fontId="81" fillId="9" borderId="4" xfId="3" applyFont="1" applyFill="1" applyBorder="1" applyAlignment="1">
      <alignment horizontal="center"/>
    </xf>
    <xf numFmtId="0" fontId="81" fillId="9" borderId="5" xfId="3" applyFont="1" applyFill="1" applyBorder="1" applyAlignment="1">
      <alignment horizontal="center"/>
    </xf>
    <xf numFmtId="0" fontId="81" fillId="9" borderId="6" xfId="3" applyFont="1" applyFill="1" applyBorder="1" applyAlignment="1">
      <alignment horizontal="center"/>
    </xf>
    <xf numFmtId="0" fontId="7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79" fillId="10" borderId="1" xfId="3" applyFont="1" applyFill="1" applyBorder="1" applyAlignment="1">
      <alignment horizontal="center"/>
    </xf>
    <xf numFmtId="0" fontId="71" fillId="10" borderId="2" xfId="3" applyFont="1" applyFill="1" applyBorder="1" applyAlignment="1">
      <alignment horizontal="center"/>
    </xf>
    <xf numFmtId="0" fontId="71" fillId="10" borderId="3" xfId="3" applyFont="1" applyFill="1" applyBorder="1" applyAlignment="1">
      <alignment horizontal="center"/>
    </xf>
    <xf numFmtId="0" fontId="83" fillId="9" borderId="4" xfId="3" applyFont="1" applyFill="1" applyBorder="1" applyAlignment="1">
      <alignment horizontal="center"/>
    </xf>
    <xf numFmtId="0" fontId="82" fillId="9" borderId="5" xfId="3" applyFont="1" applyFill="1" applyBorder="1" applyAlignment="1">
      <alignment horizontal="center"/>
    </xf>
    <xf numFmtId="0" fontId="82" fillId="9" borderId="6" xfId="3" applyFont="1" applyFill="1" applyBorder="1" applyAlignment="1">
      <alignment horizontal="center"/>
    </xf>
    <xf numFmtId="0" fontId="76" fillId="10" borderId="4" xfId="3" applyFont="1" applyFill="1" applyBorder="1" applyAlignment="1">
      <alignment horizontal="center"/>
    </xf>
    <xf numFmtId="0" fontId="75" fillId="10" borderId="5" xfId="3" applyFont="1" applyFill="1" applyBorder="1" applyAlignment="1">
      <alignment horizontal="center"/>
    </xf>
    <xf numFmtId="0" fontId="75" fillId="10" borderId="6" xfId="3" applyFont="1" applyFill="1" applyBorder="1" applyAlignment="1">
      <alignment horizontal="center"/>
    </xf>
    <xf numFmtId="0" fontId="78" fillId="10" borderId="4" xfId="3" applyFont="1" applyFill="1" applyBorder="1" applyAlignment="1">
      <alignment horizontal="center"/>
    </xf>
    <xf numFmtId="0" fontId="77" fillId="10" borderId="5" xfId="3" applyFont="1" applyFill="1" applyBorder="1" applyAlignment="1">
      <alignment horizontal="center"/>
    </xf>
    <xf numFmtId="0" fontId="77" fillId="10" borderId="6" xfId="3" applyFont="1" applyFill="1" applyBorder="1" applyAlignment="1">
      <alignment horizontal="center"/>
    </xf>
    <xf numFmtId="0" fontId="75" fillId="10" borderId="4" xfId="3" applyFont="1" applyFill="1" applyBorder="1" applyAlignment="1">
      <alignment horizontal="center"/>
    </xf>
    <xf numFmtId="0" fontId="72" fillId="10" borderId="5" xfId="3" applyFont="1" applyFill="1" applyBorder="1" applyAlignment="1">
      <alignment horizontal="center"/>
    </xf>
    <xf numFmtId="0" fontId="72" fillId="10" borderId="6" xfId="3" applyFont="1" applyFill="1" applyBorder="1" applyAlignment="1">
      <alignment horizontal="center"/>
    </xf>
  </cellXfs>
  <cellStyles count="6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3 2" xfId="5" xr:uid="{4867A845-44F9-4779-B990-1B03B8BEF2A0}"/>
    <cellStyle name="一般 4" xfId="4" xr:uid="{EEC31A27-66EA-4D5E-A3E5-D3011515E366}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30" formatCode="@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4BD0D6-CFE5-4F56-A691-6ECDFFA45498}" name="表格1_337412" displayName="表格1_337412" ref="T2:X57" totalsRowShown="0" headerRowDxfId="57" dataDxfId="56">
  <autoFilter ref="T2:X57" xr:uid="{9C00F295-8A3B-42D3-9D0E-8DA68D6B9D93}"/>
  <sortState xmlns:xlrd2="http://schemas.microsoft.com/office/spreadsheetml/2017/richdata2" ref="T3:V56">
    <sortCondition ref="T3:T56" customList="1,q,a,z,2,w,s,x,e,d,c,r,f,v,t,g,b,y,h,n,u,j,m,8,i,k,9,o,l,.,0,p,;,/,-"/>
  </sortState>
  <tableColumns count="5">
    <tableColumn id="1" xr3:uid="{4300E25B-F6F0-4EBE-9910-D1CF6269672E}" name="按鍵字元" dataDxfId="55">
      <calculatedColumnFormula>E3</calculatedColumnFormula>
    </tableColumn>
    <tableColumn id="7" xr3:uid="{4160FCC2-124F-4F68-8E4E-A567D17D8DA5}" name="欄2" dataDxfId="54" dataCellStyle="一般 4">
      <calculatedColumnFormula array="1" xml:space="preserve"> MATCH(TRUE, EXACT($L$3:$L$57, T3), 0)</calculatedColumnFormula>
    </tableColumn>
    <tableColumn id="4" xr3:uid="{06039249-2CA8-4A8A-9F40-0F5EB6BA2BF6}" name="音標編碼" dataDxfId="53" dataCellStyle="一般 4">
      <calculatedColumnFormula>H3</calculatedColumnFormula>
    </tableColumn>
    <tableColumn id="3" xr3:uid="{2C4165FB-93AA-45A2-8A31-A5F1CF463C65}" name="欄1" dataDxfId="52" dataCellStyle="一般 4">
      <calculatedColumnFormula array="1" xml:space="preserve"> MATCH(TRUE, EXACT($I$3:$I$57, T3), 0)</calculatedColumnFormula>
    </tableColumn>
    <tableColumn id="5" xr3:uid="{B7F012F2-560D-4CAB-9589-C6F790CC6EDC}" name="方音符號" dataDxfId="51" dataCellStyle="一般 4">
      <calculatedColumnFormula array="1" xml:space="preserve"> INDEX($M$3:$M$57, 表格1_337412[[#This Row],[欄1]])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50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49">
      <calculatedColumnFormula>I3</calculatedColumnFormula>
    </tableColumn>
    <tableColumn id="4" xr3:uid="{BAE708E8-CF5B-4D0B-8DF5-70B9AD52CA64}" name="字典編碼" dataDxfId="48" dataCellStyle="一般 4">
      <calculatedColumnFormula>H3</calculatedColumnFormula>
    </tableColumn>
    <tableColumn id="3" xr3:uid="{70BCF08F-E52C-4F2F-8F88-D7EDA4AC0303}" name="拼音字母" dataDxfId="47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46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45" tableBorderDxfId="44">
  <autoFilter ref="AV8:AZ58" xr:uid="{3B0A2C71-8D94-4593-BB80-02894E7265FE}"/>
  <tableColumns count="5">
    <tableColumn id="1" xr3:uid="{71FDF87D-76C3-4355-BDAB-D340D8A9EEA4}" name="序號" dataDxfId="43">
      <calculatedColumnFormula array="1" xml:space="preserve"> ROW() - ROW($8:$8)</calculatedColumnFormula>
    </tableColumn>
    <tableColumn id="5" xr3:uid="{9E4EDD55-425F-4D8F-B5B2-0E121FF194D3}" name="鍵盤按鍵" dataDxfId="42"/>
    <tableColumn id="2" xr3:uid="{E2222704-3459-404D-83E7-C2590CA4EA13}" name="字典編碼" dataDxfId="41"/>
    <tableColumn id="3" xr3:uid="{4739495F-D1EF-4573-A6B6-21C6ED436B59}" name="拼音字母" dataDxfId="40"/>
    <tableColumn id="4" xr3:uid="{EEEEE2DE-12A7-40C0-B8C6-A9DE8229567C}" name="注音符號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38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37">
      <calculatedColumnFormula>G3</calculatedColumnFormula>
    </tableColumn>
    <tableColumn id="4" xr3:uid="{8C167905-9D73-4909-8712-255BECFAE41E}" name="字典編碼" dataDxfId="36" dataCellStyle="一般 4">
      <calculatedColumnFormula>F3</calculatedColumnFormula>
    </tableColumn>
    <tableColumn id="2" xr3:uid="{2B39C045-95F3-4942-B538-2A6427E8FFDE}" name="方音符號" dataDxfId="35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34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33">
      <calculatedColumnFormula>G3</calculatedColumnFormula>
    </tableColumn>
    <tableColumn id="4" xr3:uid="{4ECEBB4D-55DC-4D4B-9996-AEA5734CF4E0}" name="字典編碼" dataDxfId="32" dataCellStyle="一般 4">
      <calculatedColumnFormula>F3</calculatedColumnFormula>
    </tableColumn>
    <tableColumn id="2" xr3:uid="{DE6DDD52-3A19-4642-8167-79627FC56DE7}" name="方音符號" dataDxfId="31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30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29"/>
    <tableColumn id="4" xr3:uid="{64D6493B-BE28-4D5C-8028-F0E91296CD5E}" name="字典編碼" dataDxfId="28" dataCellStyle="一般 4"/>
    <tableColumn id="2" xr3:uid="{1165FEF4-C5CE-495D-B4D7-2C4D25F7136A}" name="方音符號" dataDxfId="27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26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25">
      <calculatedColumnFormula>G3</calculatedColumnFormula>
    </tableColumn>
    <tableColumn id="4" xr3:uid="{730A345D-24E2-4C76-943A-E64802DD029D}" name="字典編碼" dataDxfId="24" dataCellStyle="一般 4">
      <calculatedColumnFormula>F3</calculatedColumnFormula>
    </tableColumn>
    <tableColumn id="2" xr3:uid="{4C3C4DD4-6C51-4A0A-99B3-DF9F0D69AF51}" name="方音符號" dataDxfId="23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22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21">
      <calculatedColumnFormula>G3</calculatedColumnFormula>
    </tableColumn>
    <tableColumn id="4" xr3:uid="{4C7CA1F3-D1C3-4190-B4EE-3AD155DB8473}" name="字典編碼" dataDxfId="20" dataCellStyle="一般 4">
      <calculatedColumnFormula>F3</calculatedColumnFormula>
    </tableColumn>
    <tableColumn id="2" xr3:uid="{20E99A91-482C-42A3-B3DD-B03AF39ACBB1}" name="方音符號" dataDxfId="19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18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17"/>
    <tableColumn id="2" xr3:uid="{63964A11-33C3-4775-A61B-A34CA9D7D33B}" name="方音符號" dataDxfId="16"/>
    <tableColumn id="3" xr3:uid="{F5A33025-421F-49C0-AF9F-4A9A0D4562CC}" name="拼音字母" dataDxfId="15"/>
    <tableColumn id="4" xr3:uid="{D331036C-A530-49C9-BE79-22670ABE9163}" name="按鍵編碼" dataDxfId="14"/>
    <tableColumn id="5" xr3:uid="{3CD879B3-0434-4959-B532-198774D28491}" name="國際音標" dataDxfId="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E8:BI58" totalsRowShown="0" headerRowBorderDxfId="12" tableBorderDxfId="11">
  <autoFilter ref="BE8:BI58" xr:uid="{3B0A2C71-8D94-4593-BB80-02894E7265FE}"/>
  <tableColumns count="5">
    <tableColumn id="1" xr3:uid="{D9F72C05-D20D-4E41-8CD2-D47EAAAB5061}" name="序號" dataDxfId="10"/>
    <tableColumn id="5" xr3:uid="{76A9377C-B27C-473A-9EE0-1A8D4D0670E7}" name="按鍵字元" dataDxfId="9"/>
    <tableColumn id="2" xr3:uid="{8FDE1FB4-060C-4E19-B8BF-5C3C23E94F36}" name="注音符號" dataDxfId="8"/>
    <tableColumn id="3" xr3:uid="{B077E65C-C950-4D47-87A9-DCEDC0F350CF}" name="拼音字母" dataDxfId="7"/>
    <tableColumn id="4" xr3:uid="{D04A69C4-37A4-4EBC-9A00-BFE435BF9DCB}" name="字典編碼" dataDxfId="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B11996-4B76-4A56-BF44-8EB7CB0141CB}" name="表格1_3374" displayName="表格1_3374" ref="R2:V57" totalsRowShown="0" headerRowDxfId="5">
  <autoFilter ref="R2:V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5">
    <tableColumn id="1" xr3:uid="{545AC5B5-8852-4FC6-97CD-4846AB2A0860}" name="鍵盤位置" dataDxfId="4">
      <calculatedColumnFormula>G3</calculatedColumnFormula>
    </tableColumn>
    <tableColumn id="4" xr3:uid="{A9663618-CC0C-49B3-9F6D-5528DB2A7287}" name="字典編碼" dataDxfId="3" dataCellStyle="一般 4">
      <calculatedColumnFormula>F3</calculatedColumnFormula>
    </tableColumn>
    <tableColumn id="2" xr3:uid="{C96E7F74-F6FE-4111-880D-1BAF9336C92F}" name="方音符號" dataDxfId="2"/>
    <tableColumn id="3" xr3:uid="{8C90E391-2BF4-49A5-B51F-A8E85D913A36}" name="欄1" dataDxfId="1" dataCellStyle="一般 4">
      <calculatedColumnFormula xml:space="preserve"> MATCH( "" &amp; 表格1_3374[[#This Row],[鍵盤位置]], $J$3:$J$57, 0)</calculatedColumnFormula>
    </tableColumn>
    <tableColumn id="5" xr3:uid="{F11E7392-9C84-4296-BC7C-8E39F0E55E0E}" name="欄2" dataDxfId="0" dataCellStyle="一般 4">
      <calculatedColumnFormula array="1" xml:space="preserve"> INDEX($K$3:$K$57, 表格1_3374[[#This Row],[欄1]])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61A1-8384-4F3A-8ABF-F1236B059B23}">
  <sheetPr>
    <tabColor rgb="FFFF0000"/>
  </sheetPr>
  <dimension ref="A1:AB74"/>
  <sheetViews>
    <sheetView topLeftCell="N1" workbookViewId="0">
      <selection activeCell="S1" sqref="S1:X57"/>
    </sheetView>
  </sheetViews>
  <sheetFormatPr defaultRowHeight="30" outlineLevelCol="1"/>
  <cols>
    <col min="1" max="1" width="123.09765625" style="161" customWidth="1"/>
    <col min="2" max="2" width="4.59765625" style="161" bestFit="1" customWidth="1"/>
    <col min="3" max="3" width="6.5" style="161" customWidth="1"/>
    <col min="4" max="4" width="4.69921875" style="161" customWidth="1" outlineLevel="1"/>
    <col min="5" max="5" width="9" style="161" bestFit="1" customWidth="1"/>
    <col min="6" max="6" width="5.09765625" style="161" customWidth="1"/>
    <col min="7" max="7" width="4.69921875" style="161" customWidth="1" outlineLevel="1"/>
    <col min="8" max="9" width="10.09765625" style="163" customWidth="1" outlineLevel="1"/>
    <col min="10" max="10" width="5.09765625" style="161" customWidth="1"/>
    <col min="11" max="11" width="4.69921875" style="161" customWidth="1"/>
    <col min="12" max="12" width="10.09765625" style="162" customWidth="1"/>
    <col min="13" max="13" width="10.09765625" style="163" customWidth="1"/>
    <col min="14" max="14" width="5.09765625" style="161" customWidth="1" outlineLevel="1"/>
    <col min="15" max="15" width="4.69921875" style="161" customWidth="1" outlineLevel="1"/>
    <col min="16" max="16" width="10.09765625" style="161" customWidth="1" outlineLevel="1"/>
    <col min="17" max="17" width="10.09765625" style="164" customWidth="1" outlineLevel="1"/>
    <col min="18" max="18" width="4.5" style="161" customWidth="1"/>
    <col min="19" max="19" width="4.69921875" style="161" customWidth="1"/>
    <col min="20" max="20" width="9.796875" style="294" customWidth="1"/>
    <col min="21" max="21" width="9.796875" style="294" hidden="1" customWidth="1" outlineLevel="1"/>
    <col min="22" max="22" width="9.796875" style="294" customWidth="1" collapsed="1"/>
    <col min="23" max="23" width="9.796875" style="294" hidden="1" customWidth="1" outlineLevel="1"/>
    <col min="24" max="24" width="9.796875" style="294" customWidth="1" collapsed="1"/>
    <col min="25" max="25" width="5.8984375" style="161" customWidth="1"/>
    <col min="26" max="26" width="27.3984375" style="161" customWidth="1"/>
    <col min="27" max="27" width="9.796875" style="161" customWidth="1"/>
    <col min="28" max="28" width="9.796875" customWidth="1"/>
    <col min="29" max="29" width="11.796875" style="161" customWidth="1"/>
    <col min="30" max="30" width="10.3984375" style="161" customWidth="1"/>
    <col min="31" max="16384" width="8.796875" style="161"/>
  </cols>
  <sheetData>
    <row r="1" spans="1:28">
      <c r="A1" s="219" t="s">
        <v>916</v>
      </c>
      <c r="D1" s="219" t="str">
        <f>A1</f>
        <v>Alphabet:</v>
      </c>
      <c r="G1" s="219" t="s">
        <v>521</v>
      </c>
      <c r="K1" s="219" t="s">
        <v>523</v>
      </c>
      <c r="O1" s="219" t="s">
        <v>522</v>
      </c>
      <c r="S1" s="220" t="s">
        <v>602</v>
      </c>
      <c r="AB1" s="161"/>
    </row>
    <row r="2" spans="1:28" ht="25.5">
      <c r="A2" s="215" t="s">
        <v>917</v>
      </c>
      <c r="E2" s="166" t="s">
        <v>919</v>
      </c>
      <c r="H2" s="165" t="s">
        <v>873</v>
      </c>
      <c r="I2" s="166" t="s">
        <v>919</v>
      </c>
      <c r="L2" s="166" t="s">
        <v>919</v>
      </c>
      <c r="M2" s="166" t="s">
        <v>528</v>
      </c>
      <c r="P2" s="165" t="s">
        <v>873</v>
      </c>
      <c r="Q2" s="166" t="s">
        <v>529</v>
      </c>
      <c r="T2" s="528" t="s">
        <v>167</v>
      </c>
      <c r="U2" s="528" t="s">
        <v>920</v>
      </c>
      <c r="V2" s="528" t="s">
        <v>918</v>
      </c>
      <c r="W2" s="528" t="s">
        <v>909</v>
      </c>
      <c r="X2" s="528" t="s">
        <v>528</v>
      </c>
      <c r="Z2" s="222" t="s">
        <v>911</v>
      </c>
    </row>
    <row r="3" spans="1:28">
      <c r="D3" s="525">
        <f xml:space="preserve"> ROW() - 2</f>
        <v>1</v>
      </c>
      <c r="E3" s="526" t="str">
        <f xml:space="preserve"> MID($A$2,1+D3,1) &amp; ""</f>
        <v>1</v>
      </c>
      <c r="G3" s="525">
        <f xml:space="preserve"> ROW() - 2</f>
        <v>1</v>
      </c>
      <c r="H3" s="172" t="str">
        <f xml:space="preserve"> MID($A$11,G3,1)</f>
        <v>p</v>
      </c>
      <c r="I3" s="173" t="str">
        <f xml:space="preserve"> MID($A$12,G3,1)</f>
        <v>1</v>
      </c>
      <c r="K3" s="525">
        <f xml:space="preserve"> ROW() - 2</f>
        <v>1</v>
      </c>
      <c r="L3" s="176" t="str">
        <f xml:space="preserve"> MID($A$20, K3, 1)</f>
        <v>1</v>
      </c>
      <c r="M3" s="176" t="str">
        <f xml:space="preserve"> MID($A$21,K3,1)</f>
        <v>ㄅ</v>
      </c>
      <c r="O3" s="525">
        <f xml:space="preserve"> ROW() - 2</f>
        <v>1</v>
      </c>
      <c r="P3" s="175" t="str">
        <f xml:space="preserve"> MID($A$30, O3, 1)</f>
        <v>p</v>
      </c>
      <c r="Q3" s="175" t="str">
        <f xml:space="preserve"> MID($A$31,O3,1)</f>
        <v>ㄅ</v>
      </c>
      <c r="S3" s="161">
        <v>1</v>
      </c>
      <c r="T3" s="294" t="str">
        <f t="shared" ref="T3:T34" si="0">E3</f>
        <v>1</v>
      </c>
      <c r="U3" s="294" cm="1">
        <f t="array" ref="U3" xml:space="preserve"> MATCH(TRUE, EXACT($L$3:$L$57, T3), 0)</f>
        <v>1</v>
      </c>
      <c r="V3" s="529" t="str" cm="1">
        <f t="array" ref="V3" xml:space="preserve"> INDEX($H$3:$H$57, U3)</f>
        <v>p</v>
      </c>
      <c r="W3" s="512" cm="1">
        <f t="array" ref="W3" xml:space="preserve"> MATCH(TRUE, EXACT($I$3:$I$57, T3), 0)</f>
        <v>1</v>
      </c>
      <c r="X3" s="512" t="str" cm="1">
        <f t="array" ref="X3" xml:space="preserve"> INDEX($M$3:$M$57, 表格1_337412[[#This Row],[欄1]])</f>
        <v>ㄅ</v>
      </c>
      <c r="Z3" s="517" t="str">
        <f xml:space="preserve"> """" &amp; L3 &amp; """: { commit: """ &amp; M3 &amp; """ }"</f>
        <v>"1": { commit: "ㄅ" }</v>
      </c>
    </row>
    <row r="4" spans="1:28">
      <c r="D4" s="525">
        <f t="shared" ref="D4:D57" si="1" xml:space="preserve"> ROW() - 2</f>
        <v>2</v>
      </c>
      <c r="E4" s="526" t="str">
        <f t="shared" ref="E4:E57" si="2" xml:space="preserve"> MID($A$2,1+D4,1) &amp; ""</f>
        <v>!</v>
      </c>
      <c r="G4" s="525">
        <f t="shared" ref="G4:G57" si="3" xml:space="preserve"> ROW() - 2</f>
        <v>2</v>
      </c>
      <c r="H4" s="181" t="str">
        <f t="shared" ref="H4:H57" si="4" xml:space="preserve"> MID($A$11,G4,1)</f>
        <v>b</v>
      </c>
      <c r="I4" s="182" t="str">
        <f t="shared" ref="I4:I57" si="5" xml:space="preserve"> MID($A$12,G4,1)</f>
        <v>!</v>
      </c>
      <c r="K4" s="525">
        <f t="shared" ref="K4:K57" si="6" xml:space="preserve"> ROW() - 2</f>
        <v>2</v>
      </c>
      <c r="L4" s="176" t="str">
        <f t="shared" ref="L4:L57" si="7" xml:space="preserve"> MID($A$20, K4, 1)</f>
        <v>!</v>
      </c>
      <c r="M4" s="176" t="str">
        <f t="shared" ref="M4:M57" si="8" xml:space="preserve"> MID($A$21,K4,1)</f>
        <v>ㆠ</v>
      </c>
      <c r="O4" s="525">
        <f t="shared" ref="O4:O57" si="9" xml:space="preserve"> ROW() - 2</f>
        <v>2</v>
      </c>
      <c r="P4" s="175" t="str">
        <f t="shared" ref="P4:P57" si="10" xml:space="preserve"> MID($A$30, O4, 1)</f>
        <v>b</v>
      </c>
      <c r="Q4" s="175" t="str">
        <f t="shared" ref="Q4:Q57" si="11" xml:space="preserve"> MID($A$31,O4,1)</f>
        <v>ㆠ</v>
      </c>
      <c r="S4" s="161">
        <v>2</v>
      </c>
      <c r="T4" s="294" t="str">
        <f t="shared" si="0"/>
        <v>!</v>
      </c>
      <c r="U4" s="294" cm="1">
        <f t="array" ref="U4" xml:space="preserve"> MATCH(TRUE, EXACT($L$3:$L$57, T4), 0)</f>
        <v>2</v>
      </c>
      <c r="V4" s="529" t="str" cm="1">
        <f t="array" ref="V4" xml:space="preserve"> INDEX($H$3:$H$57, U4)</f>
        <v>b</v>
      </c>
      <c r="W4" s="512" cm="1">
        <f t="array" ref="W4" xml:space="preserve"> MATCH(TRUE, EXACT($I$3:$I$57, T4), 0)</f>
        <v>2</v>
      </c>
      <c r="X4" s="512" t="str" cm="1">
        <f t="array" ref="X4" xml:space="preserve"> INDEX($M$3:$M$57, 表格1_337412[[#This Row],[欄1]])</f>
        <v>ㆠ</v>
      </c>
      <c r="Z4" s="517" t="str">
        <f t="shared" ref="Z4:Z47" si="12" xml:space="preserve"> """" &amp; L4 &amp; """: { commit: """ &amp; M4 &amp; """ }"</f>
        <v>"!": { commit: "ㆠ" }</v>
      </c>
    </row>
    <row r="5" spans="1:28">
      <c r="D5" s="525">
        <f t="shared" si="1"/>
        <v>3</v>
      </c>
      <c r="E5" s="526" t="str">
        <f t="shared" si="2"/>
        <v>q</v>
      </c>
      <c r="G5" s="525">
        <f t="shared" si="3"/>
        <v>3</v>
      </c>
      <c r="H5" s="181" t="str">
        <f t="shared" si="4"/>
        <v>P</v>
      </c>
      <c r="I5" s="182" t="str">
        <f t="shared" si="5"/>
        <v>q</v>
      </c>
      <c r="K5" s="525">
        <f t="shared" si="6"/>
        <v>3</v>
      </c>
      <c r="L5" s="176" t="str">
        <f t="shared" si="7"/>
        <v>q</v>
      </c>
      <c r="M5" s="176" t="str">
        <f t="shared" si="8"/>
        <v>ㄆ</v>
      </c>
      <c r="O5" s="525">
        <f t="shared" si="9"/>
        <v>3</v>
      </c>
      <c r="P5" s="175" t="str">
        <f t="shared" si="10"/>
        <v>P</v>
      </c>
      <c r="Q5" s="175" t="str">
        <f t="shared" si="11"/>
        <v>ㄆ</v>
      </c>
      <c r="S5" s="161">
        <v>3</v>
      </c>
      <c r="T5" s="294" t="str">
        <f t="shared" si="0"/>
        <v>q</v>
      </c>
      <c r="U5" s="294" cm="1">
        <f t="array" ref="U5" xml:space="preserve"> MATCH(TRUE, EXACT($L$3:$L$57, T5), 0)</f>
        <v>3</v>
      </c>
      <c r="V5" s="529" t="str" cm="1">
        <f t="array" ref="V5" xml:space="preserve"> INDEX($H$3:$H$57, U5)</f>
        <v>P</v>
      </c>
      <c r="W5" s="512" cm="1">
        <f t="array" ref="W5" xml:space="preserve"> MATCH(TRUE, EXACT($I$3:$I$57, T5), 0)</f>
        <v>3</v>
      </c>
      <c r="X5" s="512" t="str" cm="1">
        <f t="array" ref="X5" xml:space="preserve"> INDEX($M$3:$M$57, 表格1_337412[[#This Row],[欄1]])</f>
        <v>ㄆ</v>
      </c>
      <c r="Z5" s="517" t="str">
        <f t="shared" si="12"/>
        <v>"q": { commit: "ㄆ" }</v>
      </c>
    </row>
    <row r="6" spans="1:28">
      <c r="A6" s="219" t="s">
        <v>524</v>
      </c>
      <c r="D6" s="525">
        <f t="shared" si="1"/>
        <v>4</v>
      </c>
      <c r="E6" s="526" t="str">
        <f t="shared" si="2"/>
        <v>a</v>
      </c>
      <c r="G6" s="525">
        <f t="shared" si="3"/>
        <v>4</v>
      </c>
      <c r="H6" s="186" t="str">
        <f t="shared" si="4"/>
        <v>m</v>
      </c>
      <c r="I6" s="187" t="str">
        <f t="shared" si="5"/>
        <v>a</v>
      </c>
      <c r="K6" s="525">
        <f t="shared" si="6"/>
        <v>4</v>
      </c>
      <c r="L6" s="176" t="str">
        <f t="shared" si="7"/>
        <v>a</v>
      </c>
      <c r="M6" s="176" t="str">
        <f t="shared" si="8"/>
        <v>ㄇ</v>
      </c>
      <c r="O6" s="525">
        <f t="shared" si="9"/>
        <v>4</v>
      </c>
      <c r="P6" s="175" t="str">
        <f t="shared" si="10"/>
        <v>m</v>
      </c>
      <c r="Q6" s="175" t="str">
        <f t="shared" si="11"/>
        <v>ㄇ</v>
      </c>
      <c r="S6" s="161">
        <v>4</v>
      </c>
      <c r="T6" s="294" t="str">
        <f t="shared" si="0"/>
        <v>a</v>
      </c>
      <c r="U6" s="294" cm="1">
        <f t="array" ref="U6" xml:space="preserve"> MATCH(TRUE, EXACT($L$3:$L$57, T6), 0)</f>
        <v>4</v>
      </c>
      <c r="V6" s="529" t="str" cm="1">
        <f t="array" ref="V6" xml:space="preserve"> INDEX($H$3:$H$57, U6)</f>
        <v>m</v>
      </c>
      <c r="W6" s="512" cm="1">
        <f t="array" ref="W6" xml:space="preserve"> MATCH(TRUE, EXACT($I$3:$I$57, T6), 0)</f>
        <v>4</v>
      </c>
      <c r="X6" s="512" t="str" cm="1">
        <f t="array" ref="X6" xml:space="preserve"> INDEX($M$3:$M$57, 表格1_337412[[#This Row],[欄1]])</f>
        <v>ㄇ</v>
      </c>
      <c r="Z6" s="517" t="str">
        <f t="shared" si="12"/>
        <v>"a": { commit: "ㄇ" }</v>
      </c>
    </row>
    <row r="7" spans="1:28">
      <c r="A7" s="215" t="s">
        <v>912</v>
      </c>
      <c r="D7" s="525">
        <f t="shared" si="1"/>
        <v>5</v>
      </c>
      <c r="E7" s="526" t="str">
        <f t="shared" si="2"/>
        <v>2</v>
      </c>
      <c r="G7" s="525">
        <f t="shared" si="3"/>
        <v>5</v>
      </c>
      <c r="H7" s="181" t="str">
        <f t="shared" si="4"/>
        <v>t</v>
      </c>
      <c r="I7" s="182" t="str">
        <f t="shared" si="5"/>
        <v>2</v>
      </c>
      <c r="K7" s="525">
        <f t="shared" si="6"/>
        <v>5</v>
      </c>
      <c r="L7" s="176" t="str">
        <f t="shared" si="7"/>
        <v>2</v>
      </c>
      <c r="M7" s="176" t="str">
        <f t="shared" si="8"/>
        <v>ㄉ</v>
      </c>
      <c r="O7" s="525">
        <f t="shared" si="9"/>
        <v>5</v>
      </c>
      <c r="P7" s="175" t="str">
        <f t="shared" si="10"/>
        <v>t</v>
      </c>
      <c r="Q7" s="175" t="str">
        <f t="shared" si="11"/>
        <v>ㄉ</v>
      </c>
      <c r="S7" s="161">
        <v>5</v>
      </c>
      <c r="T7" s="294" t="str">
        <f t="shared" si="0"/>
        <v>2</v>
      </c>
      <c r="U7" s="294" cm="1">
        <f t="array" ref="U7" xml:space="preserve"> MATCH(TRUE, EXACT($L$3:$L$57, T7), 0)</f>
        <v>5</v>
      </c>
      <c r="V7" s="529" t="str" cm="1">
        <f t="array" ref="V7" xml:space="preserve"> INDEX($H$3:$H$57, U7)</f>
        <v>t</v>
      </c>
      <c r="W7" s="512" cm="1">
        <f t="array" ref="W7" xml:space="preserve"> MATCH(TRUE, EXACT($I$3:$I$57, T7), 0)</f>
        <v>5</v>
      </c>
      <c r="X7" s="512" t="str" cm="1">
        <f t="array" ref="X7" xml:space="preserve"> INDEX($M$3:$M$57, 表格1_337412[[#This Row],[欄1]])</f>
        <v>ㄉ</v>
      </c>
      <c r="Z7" s="517" t="str">
        <f t="shared" si="12"/>
        <v>"2": { commit: "ㄉ" }</v>
      </c>
    </row>
    <row r="8" spans="1:28">
      <c r="A8" s="161">
        <f xml:space="preserve"> SEARCH("|",$A$7,1)</f>
        <v>8</v>
      </c>
      <c r="D8" s="525">
        <f t="shared" si="1"/>
        <v>6</v>
      </c>
      <c r="E8" s="526" t="str">
        <f t="shared" si="2"/>
        <v>w</v>
      </c>
      <c r="G8" s="525">
        <f t="shared" si="3"/>
        <v>6</v>
      </c>
      <c r="H8" s="181" t="str">
        <f t="shared" si="4"/>
        <v>T</v>
      </c>
      <c r="I8" s="182" t="str">
        <f t="shared" si="5"/>
        <v>w</v>
      </c>
      <c r="K8" s="525">
        <f t="shared" si="6"/>
        <v>6</v>
      </c>
      <c r="L8" s="176" t="str">
        <f t="shared" si="7"/>
        <v>w</v>
      </c>
      <c r="M8" s="176" t="str">
        <f t="shared" si="8"/>
        <v>ㄊ</v>
      </c>
      <c r="O8" s="525">
        <f t="shared" si="9"/>
        <v>6</v>
      </c>
      <c r="P8" s="175" t="str">
        <f t="shared" si="10"/>
        <v>T</v>
      </c>
      <c r="Q8" s="175" t="str">
        <f t="shared" si="11"/>
        <v>ㄊ</v>
      </c>
      <c r="S8" s="161">
        <v>6</v>
      </c>
      <c r="T8" s="294" t="str">
        <f t="shared" si="0"/>
        <v>w</v>
      </c>
      <c r="U8" s="294" cm="1">
        <f t="array" ref="U8" xml:space="preserve"> MATCH(TRUE, EXACT($L$3:$L$57, T8), 0)</f>
        <v>6</v>
      </c>
      <c r="V8" s="529" t="str" cm="1">
        <f t="array" ref="V8" xml:space="preserve"> INDEX($H$3:$H$57, U8)</f>
        <v>T</v>
      </c>
      <c r="W8" s="512" cm="1">
        <f t="array" ref="W8" xml:space="preserve"> MATCH(TRUE, EXACT($I$3:$I$57, T8), 0)</f>
        <v>6</v>
      </c>
      <c r="X8" s="512" t="str" cm="1">
        <f t="array" ref="X8" xml:space="preserve"> INDEX($M$3:$M$57, 表格1_337412[[#This Row],[欄1]])</f>
        <v>ㄊ</v>
      </c>
      <c r="Z8" s="517" t="str">
        <f t="shared" si="12"/>
        <v>"w": { commit: "ㄊ" }</v>
      </c>
    </row>
    <row r="9" spans="1:28">
      <c r="A9" s="161">
        <f xml:space="preserve"> SEARCH("|",$A$7,A8+1)</f>
        <v>64</v>
      </c>
      <c r="D9" s="525">
        <f t="shared" si="1"/>
        <v>7</v>
      </c>
      <c r="E9" s="526" t="str">
        <f t="shared" si="2"/>
        <v>s</v>
      </c>
      <c r="G9" s="525">
        <f t="shared" si="3"/>
        <v>7</v>
      </c>
      <c r="H9" s="181" t="str">
        <f t="shared" si="4"/>
        <v>n</v>
      </c>
      <c r="I9" s="182" t="str">
        <f t="shared" si="5"/>
        <v>s</v>
      </c>
      <c r="K9" s="525">
        <f t="shared" si="6"/>
        <v>7</v>
      </c>
      <c r="L9" s="176" t="str">
        <f t="shared" si="7"/>
        <v>s</v>
      </c>
      <c r="M9" s="176" t="str">
        <f t="shared" si="8"/>
        <v>ㄋ</v>
      </c>
      <c r="O9" s="525">
        <f t="shared" si="9"/>
        <v>7</v>
      </c>
      <c r="P9" s="175" t="str">
        <f t="shared" si="10"/>
        <v>n</v>
      </c>
      <c r="Q9" s="175" t="str">
        <f t="shared" si="11"/>
        <v>ㄋ</v>
      </c>
      <c r="S9" s="161">
        <v>7</v>
      </c>
      <c r="T9" s="294" t="str">
        <f t="shared" si="0"/>
        <v>s</v>
      </c>
      <c r="U9" s="294" cm="1">
        <f t="array" ref="U9" xml:space="preserve"> MATCH(TRUE, EXACT($L$3:$L$57, T9), 0)</f>
        <v>7</v>
      </c>
      <c r="V9" s="529" t="str" cm="1">
        <f t="array" ref="V9" xml:space="preserve"> INDEX($H$3:$H$57, U9)</f>
        <v>n</v>
      </c>
      <c r="W9" s="512" cm="1">
        <f t="array" ref="W9" xml:space="preserve"> MATCH(TRUE, EXACT($I$3:$I$57, T9), 0)</f>
        <v>7</v>
      </c>
      <c r="X9" s="512" t="str" cm="1">
        <f t="array" ref="X9" xml:space="preserve"> INDEX($M$3:$M$57, 表格1_337412[[#This Row],[欄1]])</f>
        <v>ㄋ</v>
      </c>
      <c r="Z9" s="517" t="str">
        <f t="shared" si="12"/>
        <v>"s": { commit: "ㄋ" }</v>
      </c>
    </row>
    <row r="10" spans="1:28">
      <c r="A10" s="161">
        <f xml:space="preserve"> SEARCH("|",$A$7,A9+1)</f>
        <v>120</v>
      </c>
      <c r="D10" s="525">
        <f t="shared" si="1"/>
        <v>8</v>
      </c>
      <c r="E10" s="526" t="str">
        <f t="shared" si="2"/>
        <v>x</v>
      </c>
      <c r="G10" s="525">
        <f t="shared" si="3"/>
        <v>8</v>
      </c>
      <c r="H10" s="191" t="str">
        <f t="shared" si="4"/>
        <v>l</v>
      </c>
      <c r="I10" s="192" t="str">
        <f t="shared" si="5"/>
        <v>x</v>
      </c>
      <c r="K10" s="525">
        <f t="shared" si="6"/>
        <v>8</v>
      </c>
      <c r="L10" s="176" t="str">
        <f t="shared" si="7"/>
        <v>x</v>
      </c>
      <c r="M10" s="176" t="str">
        <f t="shared" si="8"/>
        <v>ㄌ</v>
      </c>
      <c r="O10" s="525">
        <f t="shared" si="9"/>
        <v>8</v>
      </c>
      <c r="P10" s="175" t="str">
        <f t="shared" si="10"/>
        <v>l</v>
      </c>
      <c r="Q10" s="175" t="str">
        <f t="shared" si="11"/>
        <v>ㄌ</v>
      </c>
      <c r="S10" s="161">
        <v>8</v>
      </c>
      <c r="T10" s="294" t="str">
        <f t="shared" si="0"/>
        <v>x</v>
      </c>
      <c r="U10" s="294" cm="1">
        <f t="array" ref="U10" xml:space="preserve"> MATCH(TRUE, EXACT($L$3:$L$57, T10), 0)</f>
        <v>8</v>
      </c>
      <c r="V10" s="529" t="str" cm="1">
        <f t="array" ref="V10" xml:space="preserve"> INDEX($H$3:$H$57, U10)</f>
        <v>l</v>
      </c>
      <c r="W10" s="512" cm="1">
        <f t="array" ref="W10" xml:space="preserve"> MATCH(TRUE, EXACT($I$3:$I$57, T10), 0)</f>
        <v>8</v>
      </c>
      <c r="X10" s="512" t="str" cm="1">
        <f t="array" ref="X10" xml:space="preserve"> INDEX($M$3:$M$57, 表格1_337412[[#This Row],[欄1]])</f>
        <v>ㄌ</v>
      </c>
      <c r="Z10" s="517" t="str">
        <f t="shared" si="12"/>
        <v>"x": { commit: "ㄌ" }</v>
      </c>
    </row>
    <row r="11" spans="1:28">
      <c r="A11" s="527" t="str">
        <f xml:space="preserve"> MID($A$7,A8+1,A9-A8-1)</f>
        <v>pbPmtTnlkgKGhZJCSzjcsaAOQoeEyYxX{}M@N[]RriIuU1239&gt;&lt;4570</v>
      </c>
      <c r="B11" s="217">
        <f xml:space="preserve"> LEN(A11)</f>
        <v>55</v>
      </c>
      <c r="D11" s="525">
        <f t="shared" si="1"/>
        <v>9</v>
      </c>
      <c r="E11" s="526" t="str">
        <f t="shared" si="2"/>
        <v>e</v>
      </c>
      <c r="G11" s="525">
        <f t="shared" si="3"/>
        <v>9</v>
      </c>
      <c r="H11" s="172" t="str">
        <f t="shared" si="4"/>
        <v>k</v>
      </c>
      <c r="I11" s="173" t="str">
        <f t="shared" si="5"/>
        <v>e</v>
      </c>
      <c r="K11" s="525">
        <f t="shared" si="6"/>
        <v>9</v>
      </c>
      <c r="L11" s="176" t="str">
        <f t="shared" si="7"/>
        <v>e</v>
      </c>
      <c r="M11" s="176" t="str">
        <f t="shared" si="8"/>
        <v>ㄍ</v>
      </c>
      <c r="O11" s="525">
        <f t="shared" si="9"/>
        <v>9</v>
      </c>
      <c r="P11" s="175" t="str">
        <f t="shared" si="10"/>
        <v>k</v>
      </c>
      <c r="Q11" s="175" t="str">
        <f t="shared" si="11"/>
        <v>ㄍ</v>
      </c>
      <c r="S11" s="161">
        <v>9</v>
      </c>
      <c r="T11" s="294" t="str">
        <f t="shared" si="0"/>
        <v>e</v>
      </c>
      <c r="U11" s="294" cm="1">
        <f t="array" ref="U11" xml:space="preserve"> MATCH(TRUE, EXACT($L$3:$L$57, T11), 0)</f>
        <v>9</v>
      </c>
      <c r="V11" s="529" t="str" cm="1">
        <f t="array" ref="V11" xml:space="preserve"> INDEX($H$3:$H$57, U11)</f>
        <v>k</v>
      </c>
      <c r="W11" s="512" cm="1">
        <f t="array" ref="W11" xml:space="preserve"> MATCH(TRUE, EXACT($I$3:$I$57, T11), 0)</f>
        <v>9</v>
      </c>
      <c r="X11" s="512" t="str" cm="1">
        <f t="array" ref="X11" xml:space="preserve"> INDEX($M$3:$M$57, 表格1_337412[[#This Row],[欄1]])</f>
        <v>ㄍ</v>
      </c>
      <c r="Z11" s="517" t="str">
        <f t="shared" si="12"/>
        <v>"e": { commit: "ㄍ" }</v>
      </c>
    </row>
    <row r="12" spans="1:28">
      <c r="A12" s="527" t="str">
        <f xml:space="preserve"> MID($A$7,A9+1,A10-A9-1)</f>
        <v>1!qa2wsxeEdDcrRfvyYhn8*iIkoO9(lL,&lt;m0p;:/-uUjJ 43btgz657</v>
      </c>
      <c r="B12" s="217">
        <f xml:space="preserve"> LEN(A12)</f>
        <v>55</v>
      </c>
      <c r="D12" s="525">
        <f t="shared" si="1"/>
        <v>10</v>
      </c>
      <c r="E12" s="526" t="str">
        <f t="shared" si="2"/>
        <v>E</v>
      </c>
      <c r="G12" s="525">
        <f t="shared" si="3"/>
        <v>10</v>
      </c>
      <c r="H12" s="181" t="str">
        <f t="shared" si="4"/>
        <v>g</v>
      </c>
      <c r="I12" s="182" t="str">
        <f t="shared" si="5"/>
        <v>E</v>
      </c>
      <c r="K12" s="525">
        <f t="shared" si="6"/>
        <v>10</v>
      </c>
      <c r="L12" s="176" t="str">
        <f t="shared" si="7"/>
        <v>E</v>
      </c>
      <c r="M12" s="176" t="str">
        <f t="shared" si="8"/>
        <v>ㆣ</v>
      </c>
      <c r="O12" s="525">
        <f t="shared" si="9"/>
        <v>10</v>
      </c>
      <c r="P12" s="175" t="str">
        <f t="shared" si="10"/>
        <v>g</v>
      </c>
      <c r="Q12" s="175" t="str">
        <f t="shared" si="11"/>
        <v>ㆣ</v>
      </c>
      <c r="S12" s="161">
        <v>10</v>
      </c>
      <c r="T12" s="294" t="str">
        <f t="shared" si="0"/>
        <v>E</v>
      </c>
      <c r="U12" s="294" cm="1">
        <f t="array" ref="U12" xml:space="preserve"> MATCH(TRUE, EXACT($L$3:$L$57, T12), 0)</f>
        <v>10</v>
      </c>
      <c r="V12" s="529" t="str" cm="1">
        <f t="array" ref="V12" xml:space="preserve"> INDEX($H$3:$H$57, U12)</f>
        <v>g</v>
      </c>
      <c r="W12" s="512" cm="1">
        <f t="array" ref="W12" xml:space="preserve"> MATCH(TRUE, EXACT($I$3:$I$57, T12), 0)</f>
        <v>10</v>
      </c>
      <c r="X12" s="515" t="str" cm="1">
        <f t="array" ref="X12" xml:space="preserve"> INDEX($M$3:$M$57, 表格1_337412[[#This Row],[欄1]])</f>
        <v>ㆣ</v>
      </c>
      <c r="Z12" s="517" t="str">
        <f t="shared" si="12"/>
        <v>"E": { commit: "ㆣ" }</v>
      </c>
    </row>
    <row r="13" spans="1:28">
      <c r="D13" s="525">
        <f t="shared" si="1"/>
        <v>11</v>
      </c>
      <c r="E13" s="526" t="str">
        <f t="shared" si="2"/>
        <v>d</v>
      </c>
      <c r="G13" s="525">
        <f t="shared" si="3"/>
        <v>11</v>
      </c>
      <c r="H13" s="191" t="str">
        <f t="shared" si="4"/>
        <v>K</v>
      </c>
      <c r="I13" s="192" t="str">
        <f t="shared" si="5"/>
        <v>d</v>
      </c>
      <c r="K13" s="525">
        <f t="shared" si="6"/>
        <v>11</v>
      </c>
      <c r="L13" s="176" t="str">
        <f t="shared" si="7"/>
        <v>d</v>
      </c>
      <c r="M13" s="176" t="str">
        <f t="shared" si="8"/>
        <v>ㄎ</v>
      </c>
      <c r="O13" s="525">
        <f t="shared" si="9"/>
        <v>11</v>
      </c>
      <c r="P13" s="175" t="str">
        <f t="shared" si="10"/>
        <v>K</v>
      </c>
      <c r="Q13" s="175" t="str">
        <f t="shared" si="11"/>
        <v>ㄎ</v>
      </c>
      <c r="S13" s="161">
        <v>11</v>
      </c>
      <c r="T13" s="294" t="str">
        <f t="shared" si="0"/>
        <v>d</v>
      </c>
      <c r="U13" s="294" cm="1">
        <f t="array" ref="U13" xml:space="preserve"> MATCH(TRUE, EXACT($L$3:$L$57, T13), 0)</f>
        <v>11</v>
      </c>
      <c r="V13" s="529" t="str" cm="1">
        <f t="array" ref="V13" xml:space="preserve"> INDEX($H$3:$H$57, U13)</f>
        <v>K</v>
      </c>
      <c r="W13" s="512" cm="1">
        <f t="array" ref="W13" xml:space="preserve"> MATCH(TRUE, EXACT($I$3:$I$57, T13), 0)</f>
        <v>11</v>
      </c>
      <c r="X13" s="512" t="str" cm="1">
        <f t="array" ref="X13" xml:space="preserve"> INDEX($M$3:$M$57, 表格1_337412[[#This Row],[欄1]])</f>
        <v>ㄎ</v>
      </c>
      <c r="Z13" s="517" t="str">
        <f t="shared" si="12"/>
        <v>"d": { commit: "ㄎ" }</v>
      </c>
    </row>
    <row r="14" spans="1:28">
      <c r="D14" s="525">
        <f t="shared" si="1"/>
        <v>12</v>
      </c>
      <c r="E14" s="526" t="str">
        <f t="shared" si="2"/>
        <v>D</v>
      </c>
      <c r="G14" s="525">
        <f t="shared" si="3"/>
        <v>12</v>
      </c>
      <c r="H14" s="172" t="str">
        <f t="shared" si="4"/>
        <v>G</v>
      </c>
      <c r="I14" s="173" t="str">
        <f t="shared" si="5"/>
        <v>D</v>
      </c>
      <c r="K14" s="525">
        <f t="shared" si="6"/>
        <v>12</v>
      </c>
      <c r="L14" s="176" t="str">
        <f t="shared" si="7"/>
        <v>D</v>
      </c>
      <c r="M14" s="514" t="str">
        <f t="shared" si="8"/>
        <v>ㄫ</v>
      </c>
      <c r="O14" s="525">
        <f t="shared" si="9"/>
        <v>12</v>
      </c>
      <c r="P14" s="175" t="str">
        <f t="shared" si="10"/>
        <v>G</v>
      </c>
      <c r="Q14" s="175" t="str">
        <f t="shared" si="11"/>
        <v>ㄫ</v>
      </c>
      <c r="S14" s="161">
        <v>12</v>
      </c>
      <c r="T14" s="531" t="str">
        <f t="shared" si="0"/>
        <v>D</v>
      </c>
      <c r="U14" s="294" cm="1">
        <f t="array" ref="U14" xml:space="preserve"> MATCH(TRUE, EXACT($L$3:$L$57, T14), 0)</f>
        <v>12</v>
      </c>
      <c r="V14" s="529" t="str" cm="1">
        <f t="array" ref="V14" xml:space="preserve"> INDEX($H$3:$H$57, U14)</f>
        <v>G</v>
      </c>
      <c r="W14" s="512" cm="1">
        <f t="array" ref="W14" xml:space="preserve"> MATCH(TRUE, EXACT($I$3:$I$57, T14), 0)</f>
        <v>12</v>
      </c>
      <c r="X14" s="515" t="str" cm="1">
        <f t="array" ref="X14" xml:space="preserve"> INDEX($M$3:$M$57, 表格1_337412[[#This Row],[欄1]])</f>
        <v>ㄫ</v>
      </c>
      <c r="Z14" s="517" t="str">
        <f t="shared" si="12"/>
        <v>"D": { commit: "ㄫ" }</v>
      </c>
    </row>
    <row r="15" spans="1:28">
      <c r="A15" s="219" t="s">
        <v>523</v>
      </c>
      <c r="D15" s="525">
        <f t="shared" si="1"/>
        <v>13</v>
      </c>
      <c r="E15" s="526" t="str">
        <f t="shared" si="2"/>
        <v>c</v>
      </c>
      <c r="G15" s="525">
        <f t="shared" si="3"/>
        <v>13</v>
      </c>
      <c r="H15" s="181" t="str">
        <f t="shared" si="4"/>
        <v>h</v>
      </c>
      <c r="I15" s="182" t="str">
        <f t="shared" si="5"/>
        <v>c</v>
      </c>
      <c r="K15" s="525">
        <f t="shared" si="6"/>
        <v>13</v>
      </c>
      <c r="L15" s="176" t="str">
        <f t="shared" si="7"/>
        <v>c</v>
      </c>
      <c r="M15" s="176" t="str">
        <f t="shared" si="8"/>
        <v>ㄏ</v>
      </c>
      <c r="O15" s="525">
        <f t="shared" si="9"/>
        <v>13</v>
      </c>
      <c r="P15" s="175" t="str">
        <f t="shared" si="10"/>
        <v>h</v>
      </c>
      <c r="Q15" s="175" t="str">
        <f t="shared" si="11"/>
        <v>ㄏ</v>
      </c>
      <c r="S15" s="161">
        <v>13</v>
      </c>
      <c r="T15" s="294" t="str">
        <f t="shared" si="0"/>
        <v>c</v>
      </c>
      <c r="U15" s="294" cm="1">
        <f t="array" ref="U15" xml:space="preserve"> MATCH(TRUE, EXACT($L$3:$L$57, T15), 0)</f>
        <v>13</v>
      </c>
      <c r="V15" s="529" t="str" cm="1">
        <f t="array" ref="V15" xml:space="preserve"> INDEX($H$3:$H$57, U15)</f>
        <v>h</v>
      </c>
      <c r="W15" s="512" cm="1">
        <f t="array" ref="W15" xml:space="preserve"> MATCH(TRUE, EXACT($I$3:$I$57, T15), 0)</f>
        <v>13</v>
      </c>
      <c r="X15" s="512" t="str" cm="1">
        <f t="array" ref="X15" xml:space="preserve"> INDEX($M$3:$M$57, 表格1_337412[[#This Row],[欄1]])</f>
        <v>ㄏ</v>
      </c>
      <c r="Z15" s="517" t="str">
        <f t="shared" si="12"/>
        <v>"c": { commit: "ㄏ" }</v>
      </c>
    </row>
    <row r="16" spans="1:28">
      <c r="A16" s="215" t="s">
        <v>913</v>
      </c>
      <c r="D16" s="525">
        <f t="shared" si="1"/>
        <v>14</v>
      </c>
      <c r="E16" s="526" t="str">
        <f t="shared" si="2"/>
        <v>r</v>
      </c>
      <c r="G16" s="525">
        <f t="shared" si="3"/>
        <v>14</v>
      </c>
      <c r="H16" s="186" t="str">
        <f t="shared" si="4"/>
        <v>Z</v>
      </c>
      <c r="I16" s="187" t="str">
        <f t="shared" si="5"/>
        <v>r</v>
      </c>
      <c r="K16" s="525">
        <f t="shared" si="6"/>
        <v>14</v>
      </c>
      <c r="L16" s="176" t="str">
        <f t="shared" si="7"/>
        <v>r</v>
      </c>
      <c r="M16" s="176" t="str">
        <f t="shared" si="8"/>
        <v>ㄐ</v>
      </c>
      <c r="O16" s="525">
        <f t="shared" si="9"/>
        <v>14</v>
      </c>
      <c r="P16" s="175" t="str">
        <f t="shared" si="10"/>
        <v>Z</v>
      </c>
      <c r="Q16" s="175" t="str">
        <f t="shared" si="11"/>
        <v>ㄐ</v>
      </c>
      <c r="S16" s="161">
        <v>14</v>
      </c>
      <c r="T16" s="294" t="str">
        <f t="shared" si="0"/>
        <v>r</v>
      </c>
      <c r="U16" s="294" cm="1">
        <f t="array" ref="U16" xml:space="preserve"> MATCH(TRUE, EXACT($L$3:$L$57, T16), 0)</f>
        <v>14</v>
      </c>
      <c r="V16" s="529" t="str" cm="1">
        <f t="array" ref="V16" xml:space="preserve"> INDEX($H$3:$H$57, U16)</f>
        <v>Z</v>
      </c>
      <c r="W16" s="512" cm="1">
        <f t="array" ref="W16" xml:space="preserve"> MATCH(TRUE, EXACT($I$3:$I$57, T16), 0)</f>
        <v>14</v>
      </c>
      <c r="X16" s="512" t="str" cm="1">
        <f t="array" ref="X16" xml:space="preserve"> INDEX($M$3:$M$57, 表格1_337412[[#This Row],[欄1]])</f>
        <v>ㄐ</v>
      </c>
      <c r="Z16" s="517" t="str">
        <f t="shared" si="12"/>
        <v>"r": { commit: "ㄐ" }</v>
      </c>
    </row>
    <row r="17" spans="1:26">
      <c r="A17" s="161">
        <f xml:space="preserve"> SEARCH("|",$A$16,1)</f>
        <v>8</v>
      </c>
      <c r="D17" s="525">
        <f t="shared" si="1"/>
        <v>15</v>
      </c>
      <c r="E17" s="526" t="str">
        <f t="shared" si="2"/>
        <v>R</v>
      </c>
      <c r="G17" s="525">
        <f t="shared" si="3"/>
        <v>15</v>
      </c>
      <c r="H17" s="172" t="str">
        <f t="shared" si="4"/>
        <v>J</v>
      </c>
      <c r="I17" s="173" t="str">
        <f t="shared" si="5"/>
        <v>R</v>
      </c>
      <c r="K17" s="525">
        <f t="shared" si="6"/>
        <v>15</v>
      </c>
      <c r="L17" s="176" t="str">
        <f t="shared" si="7"/>
        <v>R</v>
      </c>
      <c r="M17" s="176" t="str">
        <f t="shared" si="8"/>
        <v>ㆢ</v>
      </c>
      <c r="O17" s="525">
        <f t="shared" si="9"/>
        <v>15</v>
      </c>
      <c r="P17" s="175" t="str">
        <f t="shared" si="10"/>
        <v>J</v>
      </c>
      <c r="Q17" s="175" t="str">
        <f t="shared" si="11"/>
        <v>ㆢ</v>
      </c>
      <c r="S17" s="161">
        <v>15</v>
      </c>
      <c r="T17" s="294" t="str">
        <f t="shared" si="0"/>
        <v>R</v>
      </c>
      <c r="U17" s="294" cm="1">
        <f t="array" ref="U17" xml:space="preserve"> MATCH(TRUE, EXACT($L$3:$L$57, T17), 0)</f>
        <v>15</v>
      </c>
      <c r="V17" s="529" t="str" cm="1">
        <f t="array" ref="V17" xml:space="preserve"> INDEX($H$3:$H$57, U17)</f>
        <v>J</v>
      </c>
      <c r="W17" s="512" cm="1">
        <f t="array" ref="W17" xml:space="preserve"> MATCH(TRUE, EXACT($I$3:$I$57, T17), 0)</f>
        <v>15</v>
      </c>
      <c r="X17" s="515" t="str" cm="1">
        <f t="array" ref="X17" xml:space="preserve"> INDEX($M$3:$M$57, 表格1_337412[[#This Row],[欄1]])</f>
        <v>ㆢ</v>
      </c>
      <c r="Z17" s="517" t="str">
        <f t="shared" si="12"/>
        <v>"R": { commit: "ㆢ" }</v>
      </c>
    </row>
    <row r="18" spans="1:26">
      <c r="A18" s="161">
        <f xml:space="preserve"> SEARCH("|",$A$16,A17+1)</f>
        <v>64</v>
      </c>
      <c r="D18" s="525">
        <f t="shared" si="1"/>
        <v>16</v>
      </c>
      <c r="E18" s="526" t="str">
        <f t="shared" si="2"/>
        <v>f</v>
      </c>
      <c r="G18" s="525">
        <f t="shared" si="3"/>
        <v>16</v>
      </c>
      <c r="H18" s="181" t="str">
        <f t="shared" si="4"/>
        <v>C</v>
      </c>
      <c r="I18" s="182" t="str">
        <f t="shared" si="5"/>
        <v>f</v>
      </c>
      <c r="K18" s="525">
        <f t="shared" si="6"/>
        <v>16</v>
      </c>
      <c r="L18" s="176" t="str">
        <f t="shared" si="7"/>
        <v>f</v>
      </c>
      <c r="M18" s="176" t="str">
        <f t="shared" si="8"/>
        <v>ㄑ</v>
      </c>
      <c r="O18" s="525">
        <f t="shared" si="9"/>
        <v>16</v>
      </c>
      <c r="P18" s="175" t="str">
        <f t="shared" si="10"/>
        <v>C</v>
      </c>
      <c r="Q18" s="175" t="str">
        <f t="shared" si="11"/>
        <v>ㄑ</v>
      </c>
      <c r="S18" s="161">
        <v>16</v>
      </c>
      <c r="T18" s="294" t="str">
        <f t="shared" si="0"/>
        <v>f</v>
      </c>
      <c r="U18" s="294" cm="1">
        <f t="array" ref="U18" xml:space="preserve"> MATCH(TRUE, EXACT($L$3:$L$57, T18), 0)</f>
        <v>16</v>
      </c>
      <c r="V18" s="529" t="str" cm="1">
        <f t="array" ref="V18" xml:space="preserve"> INDEX($H$3:$H$57, U18)</f>
        <v>C</v>
      </c>
      <c r="W18" s="512" cm="1">
        <f t="array" ref="W18" xml:space="preserve"> MATCH(TRUE, EXACT($I$3:$I$57, T18), 0)</f>
        <v>16</v>
      </c>
      <c r="X18" s="512" t="str" cm="1">
        <f t="array" ref="X18" xml:space="preserve"> INDEX($M$3:$M$57, 表格1_337412[[#This Row],[欄1]])</f>
        <v>ㄑ</v>
      </c>
      <c r="Z18" s="517" t="str">
        <f t="shared" si="12"/>
        <v>"f": { commit: "ㄑ" }</v>
      </c>
    </row>
    <row r="19" spans="1:26">
      <c r="A19" s="161">
        <f xml:space="preserve"> SEARCH("|",$A$16,A18+1)</f>
        <v>120</v>
      </c>
      <c r="D19" s="525">
        <f t="shared" si="1"/>
        <v>17</v>
      </c>
      <c r="E19" s="526" t="str">
        <f t="shared" si="2"/>
        <v>v</v>
      </c>
      <c r="G19" s="525">
        <f t="shared" si="3"/>
        <v>17</v>
      </c>
      <c r="H19" s="186" t="str">
        <f t="shared" si="4"/>
        <v>S</v>
      </c>
      <c r="I19" s="187" t="str">
        <f t="shared" si="5"/>
        <v>v</v>
      </c>
      <c r="K19" s="525">
        <f t="shared" si="6"/>
        <v>17</v>
      </c>
      <c r="L19" s="176" t="str">
        <f t="shared" si="7"/>
        <v>v</v>
      </c>
      <c r="M19" s="176" t="str">
        <f t="shared" si="8"/>
        <v>ㄒ</v>
      </c>
      <c r="O19" s="525">
        <f t="shared" si="9"/>
        <v>17</v>
      </c>
      <c r="P19" s="175" t="str">
        <f t="shared" si="10"/>
        <v>S</v>
      </c>
      <c r="Q19" s="175" t="str">
        <f t="shared" si="11"/>
        <v>ㄒ</v>
      </c>
      <c r="S19" s="161">
        <v>17</v>
      </c>
      <c r="T19" s="294" t="str">
        <f t="shared" si="0"/>
        <v>v</v>
      </c>
      <c r="U19" s="294" cm="1">
        <f t="array" ref="U19" xml:space="preserve"> MATCH(TRUE, EXACT($L$3:$L$57, T19), 0)</f>
        <v>17</v>
      </c>
      <c r="V19" s="529" t="str" cm="1">
        <f t="array" ref="V19" xml:space="preserve"> INDEX($H$3:$H$57, U19)</f>
        <v>S</v>
      </c>
      <c r="W19" s="512" cm="1">
        <f t="array" ref="W19" xml:space="preserve"> MATCH(TRUE, EXACT($I$3:$I$57, T19), 0)</f>
        <v>17</v>
      </c>
      <c r="X19" s="512" t="str" cm="1">
        <f t="array" ref="X19" xml:space="preserve"> INDEX($M$3:$M$57, 表格1_337412[[#This Row],[欄1]])</f>
        <v>ㄒ</v>
      </c>
      <c r="Z19" s="517" t="str">
        <f t="shared" si="12"/>
        <v>"v": { commit: "ㄒ" }</v>
      </c>
    </row>
    <row r="20" spans="1:26">
      <c r="A20" s="527" t="str">
        <f xml:space="preserve"> MID($A$16,A17+1,A18-A17-1)</f>
        <v>1!qa2wsxeEdDcrRfvyYhn8*iIkoO9(lL,&lt;m0p;:/-uUjJ 43btgz657</v>
      </c>
      <c r="B20" s="217">
        <f xml:space="preserve"> LEN(A20)</f>
        <v>55</v>
      </c>
      <c r="D20" s="525">
        <f t="shared" si="1"/>
        <v>18</v>
      </c>
      <c r="E20" s="526" t="str">
        <f t="shared" si="2"/>
        <v>y</v>
      </c>
      <c r="G20" s="525">
        <f t="shared" si="3"/>
        <v>18</v>
      </c>
      <c r="H20" s="197" t="str">
        <f t="shared" si="4"/>
        <v>z</v>
      </c>
      <c r="I20" s="198" t="str">
        <f t="shared" si="5"/>
        <v>y</v>
      </c>
      <c r="K20" s="525">
        <f t="shared" si="6"/>
        <v>18</v>
      </c>
      <c r="L20" s="176" t="str">
        <f t="shared" si="7"/>
        <v>y</v>
      </c>
      <c r="M20" s="176" t="str">
        <f t="shared" si="8"/>
        <v>ㄗ</v>
      </c>
      <c r="O20" s="525">
        <f t="shared" si="9"/>
        <v>18</v>
      </c>
      <c r="P20" s="175" t="str">
        <f t="shared" si="10"/>
        <v>z</v>
      </c>
      <c r="Q20" s="175" t="str">
        <f t="shared" si="11"/>
        <v>ㄗ</v>
      </c>
      <c r="S20" s="161">
        <v>18</v>
      </c>
      <c r="T20" s="294" t="str">
        <f t="shared" si="0"/>
        <v>y</v>
      </c>
      <c r="U20" s="294" cm="1">
        <f t="array" ref="U20" xml:space="preserve"> MATCH(TRUE, EXACT($L$3:$L$57, T20), 0)</f>
        <v>18</v>
      </c>
      <c r="V20" s="529" t="str" cm="1">
        <f t="array" ref="V20" xml:space="preserve"> INDEX($H$3:$H$57, U20)</f>
        <v>z</v>
      </c>
      <c r="W20" s="512" cm="1">
        <f t="array" ref="W20" xml:space="preserve"> MATCH(TRUE, EXACT($I$3:$I$57, T20), 0)</f>
        <v>18</v>
      </c>
      <c r="X20" s="512" t="str" cm="1">
        <f t="array" ref="X20" xml:space="preserve"> INDEX($M$3:$M$57, 表格1_337412[[#This Row],[欄1]])</f>
        <v>ㄗ</v>
      </c>
      <c r="Z20" s="517" t="str">
        <f t="shared" si="12"/>
        <v>"y": { commit: "ㄗ" }</v>
      </c>
    </row>
    <row r="21" spans="1:26">
      <c r="A21" s="527" t="str">
        <f xml:space="preserve"> MID($A$16,A18+1,A19-A18-1)</f>
        <v>ㄅㆠㄆㄇㄉㄊㄋㄌㄍㆣㄎㄫㄏㄐㆢㄑㄒㄗㆡㄘㄙㄚㆩㆦㆧㄜㆤㆥㄞㆮㄠㆯㆰㆱㆬㄢㄣㄤㆲㄥㆭㄧㆪㄨㆫ ˋ˪ㆴㆵㆻㆷˊ˫˙</v>
      </c>
      <c r="B21" s="217">
        <f xml:space="preserve"> LEN(A21)</f>
        <v>55</v>
      </c>
      <c r="D21" s="525">
        <f t="shared" si="1"/>
        <v>19</v>
      </c>
      <c r="E21" s="526" t="str">
        <f t="shared" si="2"/>
        <v>Y</v>
      </c>
      <c r="G21" s="525">
        <f t="shared" si="3"/>
        <v>19</v>
      </c>
      <c r="H21" s="202" t="str">
        <f t="shared" si="4"/>
        <v>j</v>
      </c>
      <c r="I21" s="203" t="str">
        <f t="shared" si="5"/>
        <v>Y</v>
      </c>
      <c r="K21" s="525">
        <f t="shared" si="6"/>
        <v>19</v>
      </c>
      <c r="L21" s="176" t="str">
        <f t="shared" si="7"/>
        <v>Y</v>
      </c>
      <c r="M21" s="176" t="str">
        <f t="shared" si="8"/>
        <v>ㆡ</v>
      </c>
      <c r="O21" s="525">
        <f t="shared" si="9"/>
        <v>19</v>
      </c>
      <c r="P21" s="175" t="str">
        <f t="shared" si="10"/>
        <v>j</v>
      </c>
      <c r="Q21" s="175" t="str">
        <f t="shared" si="11"/>
        <v>ㆡ</v>
      </c>
      <c r="S21" s="161">
        <v>19</v>
      </c>
      <c r="T21" s="294" t="str">
        <f t="shared" si="0"/>
        <v>Y</v>
      </c>
      <c r="U21" s="294" cm="1">
        <f t="array" ref="U21" xml:space="preserve"> MATCH(TRUE, EXACT($L$3:$L$57, T21), 0)</f>
        <v>19</v>
      </c>
      <c r="V21" s="529" t="str" cm="1">
        <f t="array" ref="V21" xml:space="preserve"> INDEX($H$3:$H$57, U21)</f>
        <v>j</v>
      </c>
      <c r="W21" s="512" cm="1">
        <f t="array" ref="W21" xml:space="preserve"> MATCH(TRUE, EXACT($I$3:$I$57, T21), 0)</f>
        <v>19</v>
      </c>
      <c r="X21" s="515" t="str" cm="1">
        <f t="array" ref="X21" xml:space="preserve"> INDEX($M$3:$M$57, 表格1_337412[[#This Row],[欄1]])</f>
        <v>ㆡ</v>
      </c>
      <c r="Z21" s="517" t="str">
        <f t="shared" si="12"/>
        <v>"Y": { commit: "ㆡ" }</v>
      </c>
    </row>
    <row r="22" spans="1:26">
      <c r="D22" s="525">
        <f t="shared" si="1"/>
        <v>20</v>
      </c>
      <c r="E22" s="526" t="str">
        <f t="shared" si="2"/>
        <v>h</v>
      </c>
      <c r="G22" s="525">
        <f t="shared" si="3"/>
        <v>20</v>
      </c>
      <c r="H22" s="186" t="str">
        <f t="shared" si="4"/>
        <v>c</v>
      </c>
      <c r="I22" s="187" t="str">
        <f t="shared" si="5"/>
        <v>h</v>
      </c>
      <c r="K22" s="525">
        <f t="shared" si="6"/>
        <v>20</v>
      </c>
      <c r="L22" s="176" t="str">
        <f t="shared" si="7"/>
        <v>h</v>
      </c>
      <c r="M22" s="176" t="str">
        <f t="shared" si="8"/>
        <v>ㄘ</v>
      </c>
      <c r="O22" s="525">
        <f t="shared" si="9"/>
        <v>20</v>
      </c>
      <c r="P22" s="175" t="str">
        <f t="shared" si="10"/>
        <v>c</v>
      </c>
      <c r="Q22" s="175" t="str">
        <f t="shared" si="11"/>
        <v>ㄘ</v>
      </c>
      <c r="S22" s="161">
        <v>20</v>
      </c>
      <c r="T22" s="294" t="str">
        <f t="shared" si="0"/>
        <v>h</v>
      </c>
      <c r="U22" s="294" cm="1">
        <f t="array" ref="U22" xml:space="preserve"> MATCH(TRUE, EXACT($L$3:$L$57, T22), 0)</f>
        <v>20</v>
      </c>
      <c r="V22" s="529" t="str" cm="1">
        <f t="array" ref="V22" xml:space="preserve"> INDEX($H$3:$H$57, U22)</f>
        <v>c</v>
      </c>
      <c r="W22" s="512" cm="1">
        <f t="array" ref="W22" xml:space="preserve"> MATCH(TRUE, EXACT($I$3:$I$57, T22), 0)</f>
        <v>20</v>
      </c>
      <c r="X22" s="512" t="str" cm="1">
        <f t="array" ref="X22" xml:space="preserve"> INDEX($M$3:$M$57, 表格1_337412[[#This Row],[欄1]])</f>
        <v>ㄘ</v>
      </c>
      <c r="Z22" s="517" t="str">
        <f t="shared" si="12"/>
        <v>"h": { commit: "ㄘ" }</v>
      </c>
    </row>
    <row r="23" spans="1:26">
      <c r="D23" s="525">
        <f t="shared" si="1"/>
        <v>21</v>
      </c>
      <c r="E23" s="526" t="str">
        <f t="shared" si="2"/>
        <v>n</v>
      </c>
      <c r="G23" s="525">
        <f t="shared" si="3"/>
        <v>21</v>
      </c>
      <c r="H23" s="206" t="str">
        <f t="shared" si="4"/>
        <v>s</v>
      </c>
      <c r="I23" s="206" t="str">
        <f t="shared" si="5"/>
        <v>n</v>
      </c>
      <c r="K23" s="525">
        <f t="shared" si="6"/>
        <v>21</v>
      </c>
      <c r="L23" s="176" t="str">
        <f t="shared" si="7"/>
        <v>n</v>
      </c>
      <c r="M23" s="176" t="str">
        <f t="shared" si="8"/>
        <v>ㄙ</v>
      </c>
      <c r="O23" s="525">
        <f t="shared" si="9"/>
        <v>21</v>
      </c>
      <c r="P23" s="175" t="str">
        <f t="shared" si="10"/>
        <v>s</v>
      </c>
      <c r="Q23" s="175" t="str">
        <f t="shared" si="11"/>
        <v>ㄙ</v>
      </c>
      <c r="S23" s="161">
        <v>21</v>
      </c>
      <c r="T23" s="294" t="str">
        <f t="shared" si="0"/>
        <v>n</v>
      </c>
      <c r="U23" s="294" cm="1">
        <f t="array" ref="U23" xml:space="preserve"> MATCH(TRUE, EXACT($L$3:$L$57, T23), 0)</f>
        <v>21</v>
      </c>
      <c r="V23" s="529" t="str" cm="1">
        <f t="array" ref="V23" xml:space="preserve"> INDEX($H$3:$H$57, U23)</f>
        <v>s</v>
      </c>
      <c r="W23" s="512" cm="1">
        <f t="array" ref="W23" xml:space="preserve"> MATCH(TRUE, EXACT($I$3:$I$57, T23), 0)</f>
        <v>21</v>
      </c>
      <c r="X23" s="512" t="str" cm="1">
        <f t="array" ref="X23" xml:space="preserve"> INDEX($M$3:$M$57, 表格1_337412[[#This Row],[欄1]])</f>
        <v>ㄙ</v>
      </c>
      <c r="Z23" s="517" t="str">
        <f t="shared" si="12"/>
        <v>"n": { commit: "ㄙ" }</v>
      </c>
    </row>
    <row r="24" spans="1:26">
      <c r="D24" s="525">
        <f t="shared" si="1"/>
        <v>22</v>
      </c>
      <c r="E24" s="526" t="str">
        <f t="shared" si="2"/>
        <v>8</v>
      </c>
      <c r="G24" s="525">
        <f t="shared" si="3"/>
        <v>22</v>
      </c>
      <c r="H24" s="206" t="str">
        <f t="shared" si="4"/>
        <v>a</v>
      </c>
      <c r="I24" s="206" t="str">
        <f t="shared" si="5"/>
        <v>8</v>
      </c>
      <c r="K24" s="525">
        <f t="shared" si="6"/>
        <v>22</v>
      </c>
      <c r="L24" s="176" t="str">
        <f t="shared" si="7"/>
        <v>8</v>
      </c>
      <c r="M24" s="176" t="str">
        <f t="shared" si="8"/>
        <v>ㄚ</v>
      </c>
      <c r="O24" s="525">
        <f t="shared" si="9"/>
        <v>22</v>
      </c>
      <c r="P24" s="175" t="str">
        <f t="shared" si="10"/>
        <v>a</v>
      </c>
      <c r="Q24" s="175" t="str">
        <f t="shared" si="11"/>
        <v>ㄚ</v>
      </c>
      <c r="S24" s="161">
        <v>22</v>
      </c>
      <c r="T24" s="294" t="str">
        <f t="shared" si="0"/>
        <v>8</v>
      </c>
      <c r="U24" s="294" cm="1">
        <f t="array" ref="U24" xml:space="preserve"> MATCH(TRUE, EXACT($L$3:$L$57, T24), 0)</f>
        <v>22</v>
      </c>
      <c r="V24" s="529" t="str" cm="1">
        <f t="array" ref="V24" xml:space="preserve"> INDEX($H$3:$H$57, U24)</f>
        <v>a</v>
      </c>
      <c r="W24" s="512" cm="1">
        <f t="array" ref="W24" xml:space="preserve"> MATCH(TRUE, EXACT($I$3:$I$57, T24), 0)</f>
        <v>22</v>
      </c>
      <c r="X24" s="512" t="str" cm="1">
        <f t="array" ref="X24" xml:space="preserve"> INDEX($M$3:$M$57, 表格1_337412[[#This Row],[欄1]])</f>
        <v>ㄚ</v>
      </c>
      <c r="Z24" s="517" t="str">
        <f t="shared" si="12"/>
        <v>"8": { commit: "ㄚ" }</v>
      </c>
    </row>
    <row r="25" spans="1:26">
      <c r="A25" s="219" t="s">
        <v>535</v>
      </c>
      <c r="D25" s="525">
        <f t="shared" si="1"/>
        <v>23</v>
      </c>
      <c r="E25" s="526" t="str">
        <f t="shared" si="2"/>
        <v>*</v>
      </c>
      <c r="G25" s="525">
        <f t="shared" si="3"/>
        <v>23</v>
      </c>
      <c r="H25" s="206" t="str">
        <f t="shared" si="4"/>
        <v>A</v>
      </c>
      <c r="I25" s="206" t="str">
        <f t="shared" si="5"/>
        <v>*</v>
      </c>
      <c r="K25" s="525">
        <f t="shared" si="6"/>
        <v>23</v>
      </c>
      <c r="L25" s="176" t="str">
        <f t="shared" si="7"/>
        <v>*</v>
      </c>
      <c r="M25" s="176" t="str">
        <f t="shared" si="8"/>
        <v>ㆩ</v>
      </c>
      <c r="O25" s="525">
        <f t="shared" si="9"/>
        <v>23</v>
      </c>
      <c r="P25" s="175" t="str">
        <f t="shared" si="10"/>
        <v>A</v>
      </c>
      <c r="Q25" s="175" t="str">
        <f t="shared" si="11"/>
        <v>ㆩ</v>
      </c>
      <c r="S25" s="161">
        <v>23</v>
      </c>
      <c r="T25" s="294" t="str">
        <f t="shared" si="0"/>
        <v>*</v>
      </c>
      <c r="U25" s="294" cm="1">
        <f t="array" ref="U25" xml:space="preserve"> MATCH(TRUE, EXACT($L$3:$L$57, T25), 0)</f>
        <v>23</v>
      </c>
      <c r="V25" s="529" t="str" cm="1">
        <f t="array" ref="V25" xml:space="preserve"> INDEX($H$3:$H$57, U25)</f>
        <v>A</v>
      </c>
      <c r="W25" s="512" cm="1">
        <f t="array" ref="W25" xml:space="preserve"> MATCH(TRUE, EXACT($I$3:$I$57, T25), 0)</f>
        <v>23</v>
      </c>
      <c r="X25" s="515" t="str" cm="1">
        <f t="array" ref="X25" xml:space="preserve"> INDEX($M$3:$M$57, 表格1_337412[[#This Row],[欄1]])</f>
        <v>ㆩ</v>
      </c>
      <c r="Z25" s="517" t="str">
        <f t="shared" si="12"/>
        <v>"*": { commit: "ㆩ" }</v>
      </c>
    </row>
    <row r="26" spans="1:26">
      <c r="A26" s="215" t="s">
        <v>914</v>
      </c>
      <c r="D26" s="525">
        <f t="shared" si="1"/>
        <v>24</v>
      </c>
      <c r="E26" s="526" t="str">
        <f t="shared" si="2"/>
        <v>i</v>
      </c>
      <c r="G26" s="525">
        <f t="shared" si="3"/>
        <v>24</v>
      </c>
      <c r="H26" s="206" t="str">
        <f t="shared" si="4"/>
        <v>O</v>
      </c>
      <c r="I26" s="206" t="str">
        <f t="shared" si="5"/>
        <v>i</v>
      </c>
      <c r="K26" s="525">
        <f t="shared" si="6"/>
        <v>24</v>
      </c>
      <c r="L26" s="176" t="str">
        <f t="shared" si="7"/>
        <v>i</v>
      </c>
      <c r="M26" s="176" t="str">
        <f t="shared" si="8"/>
        <v>ㆦ</v>
      </c>
      <c r="O26" s="525">
        <f t="shared" si="9"/>
        <v>24</v>
      </c>
      <c r="P26" s="175" t="str">
        <f t="shared" si="10"/>
        <v>O</v>
      </c>
      <c r="Q26" s="175" t="str">
        <f t="shared" si="11"/>
        <v>ㆦ</v>
      </c>
      <c r="S26" s="161">
        <v>24</v>
      </c>
      <c r="T26" s="294" t="str">
        <f t="shared" si="0"/>
        <v>i</v>
      </c>
      <c r="U26" s="294" cm="1">
        <f t="array" ref="U26" xml:space="preserve"> MATCH(TRUE, EXACT($L$3:$L$57, T26), 0)</f>
        <v>24</v>
      </c>
      <c r="V26" s="529" t="str" cm="1">
        <f t="array" ref="V26" xml:space="preserve"> INDEX($H$3:$H$57, U26)</f>
        <v>O</v>
      </c>
      <c r="W26" s="512" cm="1">
        <f t="array" ref="W26" xml:space="preserve"> MATCH(TRUE, EXACT($I$3:$I$57, T26), 0)</f>
        <v>24</v>
      </c>
      <c r="X26" s="512" t="str" cm="1">
        <f t="array" ref="X26" xml:space="preserve"> INDEX($M$3:$M$57, 表格1_337412[[#This Row],[欄1]])</f>
        <v>ㆦ</v>
      </c>
      <c r="Z26" s="517" t="str">
        <f t="shared" si="12"/>
        <v>"i": { commit: "ㆦ" }</v>
      </c>
    </row>
    <row r="27" spans="1:26">
      <c r="A27" s="161">
        <f xml:space="preserve"> SEARCH("|",$A$16,1)</f>
        <v>8</v>
      </c>
      <c r="D27" s="525">
        <f t="shared" si="1"/>
        <v>25</v>
      </c>
      <c r="E27" s="526" t="str">
        <f t="shared" si="2"/>
        <v>I</v>
      </c>
      <c r="G27" s="525">
        <f t="shared" si="3"/>
        <v>25</v>
      </c>
      <c r="H27" s="206" t="str">
        <f t="shared" si="4"/>
        <v>Q</v>
      </c>
      <c r="I27" s="206" t="str">
        <f t="shared" si="5"/>
        <v>I</v>
      </c>
      <c r="K27" s="525">
        <f t="shared" si="6"/>
        <v>25</v>
      </c>
      <c r="L27" s="176" t="str">
        <f t="shared" si="7"/>
        <v>I</v>
      </c>
      <c r="M27" s="176" t="str">
        <f t="shared" si="8"/>
        <v>ㆧ</v>
      </c>
      <c r="O27" s="525">
        <f t="shared" si="9"/>
        <v>25</v>
      </c>
      <c r="P27" s="175" t="str">
        <f t="shared" si="10"/>
        <v>Q</v>
      </c>
      <c r="Q27" s="175" t="str">
        <f t="shared" si="11"/>
        <v>ㆧ</v>
      </c>
      <c r="S27" s="161">
        <v>25</v>
      </c>
      <c r="T27" s="294" t="str">
        <f t="shared" si="0"/>
        <v>I</v>
      </c>
      <c r="U27" s="294" cm="1">
        <f t="array" ref="U27" xml:space="preserve"> MATCH(TRUE, EXACT($L$3:$L$57, T27), 0)</f>
        <v>25</v>
      </c>
      <c r="V27" s="529" t="str" cm="1">
        <f t="array" ref="V27" xml:space="preserve"> INDEX($H$3:$H$57, U27)</f>
        <v>Q</v>
      </c>
      <c r="W27" s="512" cm="1">
        <f t="array" ref="W27" xml:space="preserve"> MATCH(TRUE, EXACT($I$3:$I$57, T27), 0)</f>
        <v>25</v>
      </c>
      <c r="X27" s="515" t="str" cm="1">
        <f t="array" ref="X27" xml:space="preserve"> INDEX($M$3:$M$57, 表格1_337412[[#This Row],[欄1]])</f>
        <v>ㆧ</v>
      </c>
      <c r="Z27" s="517" t="str">
        <f t="shared" si="12"/>
        <v>"I": { commit: "ㆧ" }</v>
      </c>
    </row>
    <row r="28" spans="1:26">
      <c r="A28" s="161">
        <f xml:space="preserve"> SEARCH("|",$A$16,A27+1)</f>
        <v>64</v>
      </c>
      <c r="D28" s="525">
        <f t="shared" si="1"/>
        <v>26</v>
      </c>
      <c r="E28" s="526" t="str">
        <f t="shared" si="2"/>
        <v>k</v>
      </c>
      <c r="G28" s="525">
        <f t="shared" si="3"/>
        <v>26</v>
      </c>
      <c r="H28" s="206" t="str">
        <f t="shared" si="4"/>
        <v>o</v>
      </c>
      <c r="I28" s="206" t="str">
        <f t="shared" si="5"/>
        <v>k</v>
      </c>
      <c r="K28" s="525">
        <f t="shared" si="6"/>
        <v>26</v>
      </c>
      <c r="L28" s="176" t="str">
        <f t="shared" si="7"/>
        <v>k</v>
      </c>
      <c r="M28" s="176" t="str">
        <f t="shared" si="8"/>
        <v>ㄜ</v>
      </c>
      <c r="O28" s="525">
        <f t="shared" si="9"/>
        <v>26</v>
      </c>
      <c r="P28" s="175" t="str">
        <f t="shared" si="10"/>
        <v>o</v>
      </c>
      <c r="Q28" s="175" t="str">
        <f t="shared" si="11"/>
        <v>ㄜ</v>
      </c>
      <c r="S28" s="161">
        <v>26</v>
      </c>
      <c r="T28" s="294" t="str">
        <f t="shared" si="0"/>
        <v>k</v>
      </c>
      <c r="U28" s="294" cm="1">
        <f t="array" ref="U28" xml:space="preserve"> MATCH(TRUE, EXACT($L$3:$L$57, T28), 0)</f>
        <v>26</v>
      </c>
      <c r="V28" s="529" t="str" cm="1">
        <f t="array" ref="V28" xml:space="preserve"> INDEX($H$3:$H$57, U28)</f>
        <v>o</v>
      </c>
      <c r="W28" s="512" cm="1">
        <f t="array" ref="W28" xml:space="preserve"> MATCH(TRUE, EXACT($I$3:$I$57, T28), 0)</f>
        <v>26</v>
      </c>
      <c r="X28" s="512" t="str" cm="1">
        <f t="array" ref="X28" xml:space="preserve"> INDEX($M$3:$M$57, 表格1_337412[[#This Row],[欄1]])</f>
        <v>ㄜ</v>
      </c>
      <c r="Z28" s="517" t="str">
        <f t="shared" si="12"/>
        <v>"k": { commit: "ㄜ" }</v>
      </c>
    </row>
    <row r="29" spans="1:26">
      <c r="A29" s="161">
        <f xml:space="preserve"> SEARCH("|",$A$16,A28+1)</f>
        <v>120</v>
      </c>
      <c r="D29" s="525">
        <f t="shared" si="1"/>
        <v>27</v>
      </c>
      <c r="E29" s="526" t="str">
        <f t="shared" si="2"/>
        <v>o</v>
      </c>
      <c r="G29" s="525">
        <f t="shared" si="3"/>
        <v>27</v>
      </c>
      <c r="H29" s="206" t="str">
        <f t="shared" si="4"/>
        <v>e</v>
      </c>
      <c r="I29" s="206" t="str">
        <f t="shared" si="5"/>
        <v>o</v>
      </c>
      <c r="K29" s="525">
        <f t="shared" si="6"/>
        <v>27</v>
      </c>
      <c r="L29" s="176" t="str">
        <f t="shared" si="7"/>
        <v>o</v>
      </c>
      <c r="M29" s="176" t="str">
        <f t="shared" si="8"/>
        <v>ㆤ</v>
      </c>
      <c r="O29" s="525">
        <f t="shared" si="9"/>
        <v>27</v>
      </c>
      <c r="P29" s="175" t="str">
        <f t="shared" si="10"/>
        <v>e</v>
      </c>
      <c r="Q29" s="175" t="str">
        <f t="shared" si="11"/>
        <v>ㆤ</v>
      </c>
      <c r="S29" s="161">
        <v>27</v>
      </c>
      <c r="T29" s="531" t="str">
        <f t="shared" si="0"/>
        <v>o</v>
      </c>
      <c r="U29" s="294" cm="1">
        <f t="array" ref="U29" xml:space="preserve"> MATCH(TRUE, EXACT($L$3:$L$57, T29), 0)</f>
        <v>27</v>
      </c>
      <c r="V29" s="529" t="str" cm="1">
        <f t="array" ref="V29" xml:space="preserve"> INDEX($H$3:$H$57, U29)</f>
        <v>e</v>
      </c>
      <c r="W29" s="512" cm="1">
        <f t="array" ref="W29" xml:space="preserve"> MATCH(TRUE, EXACT($I$3:$I$57, T29), 0)</f>
        <v>27</v>
      </c>
      <c r="X29" s="512" t="str" cm="1">
        <f t="array" ref="X29" xml:space="preserve"> INDEX($M$3:$M$57, 表格1_337412[[#This Row],[欄1]])</f>
        <v>ㆤ</v>
      </c>
      <c r="Z29" s="517" t="str">
        <f t="shared" si="12"/>
        <v>"o": { commit: "ㆤ" }</v>
      </c>
    </row>
    <row r="30" spans="1:26">
      <c r="A30" s="527" t="str">
        <f xml:space="preserve"> MID($A$26,A27+1,A28-A27-1)</f>
        <v>pbPmtTnlkgKGhZJCSzjcsaAOQoeEyYxX{}M@N[]RriIuU9&gt;&lt;4123570</v>
      </c>
      <c r="B30" s="217">
        <f xml:space="preserve"> LEN(A30)</f>
        <v>55</v>
      </c>
      <c r="D30" s="525">
        <f t="shared" si="1"/>
        <v>28</v>
      </c>
      <c r="E30" s="526" t="str">
        <f t="shared" si="2"/>
        <v>O</v>
      </c>
      <c r="G30" s="525">
        <f t="shared" si="3"/>
        <v>28</v>
      </c>
      <c r="H30" s="206" t="str">
        <f t="shared" si="4"/>
        <v>E</v>
      </c>
      <c r="I30" s="206" t="str">
        <f t="shared" si="5"/>
        <v>O</v>
      </c>
      <c r="K30" s="525">
        <f t="shared" si="6"/>
        <v>28</v>
      </c>
      <c r="L30" s="176" t="str">
        <f t="shared" si="7"/>
        <v>O</v>
      </c>
      <c r="M30" s="176" t="str">
        <f t="shared" si="8"/>
        <v>ㆥ</v>
      </c>
      <c r="O30" s="525">
        <f t="shared" si="9"/>
        <v>28</v>
      </c>
      <c r="P30" s="175" t="str">
        <f t="shared" si="10"/>
        <v>E</v>
      </c>
      <c r="Q30" s="175" t="str">
        <f t="shared" si="11"/>
        <v>ㆤ</v>
      </c>
      <c r="S30" s="161">
        <v>28</v>
      </c>
      <c r="T30" s="531" t="str">
        <f t="shared" si="0"/>
        <v>O</v>
      </c>
      <c r="U30" s="294" cm="1">
        <f t="array" ref="U30" xml:space="preserve"> MATCH(TRUE, EXACT($L$3:$L$57, T30), 0)</f>
        <v>28</v>
      </c>
      <c r="V30" s="529" t="str" cm="1">
        <f t="array" ref="V30" xml:space="preserve"> INDEX($H$3:$H$57, U30)</f>
        <v>E</v>
      </c>
      <c r="W30" s="512" cm="1">
        <f t="array" ref="W30" xml:space="preserve"> MATCH(TRUE, EXACT($I$3:$I$57, T30), 0)</f>
        <v>28</v>
      </c>
      <c r="X30" s="515" t="str" cm="1">
        <f t="array" ref="X30" xml:space="preserve"> INDEX($M$3:$M$57, 表格1_337412[[#This Row],[欄1]])</f>
        <v>ㆥ</v>
      </c>
      <c r="Z30" s="517" t="str">
        <f t="shared" si="12"/>
        <v>"O": { commit: "ㆥ" }</v>
      </c>
    </row>
    <row r="31" spans="1:26">
      <c r="A31" s="527" t="str">
        <f xml:space="preserve"> MID($A$26,A28+1,A29-A28-1)</f>
        <v>ㄅㆠㄆㄇㄉㄊㄋㄌㄍㆣㄎㄫㄏㄐㆢㄑㄒㄗㆡㄘㄙㄚㆩㆦㆧㄜㆤㆤㄞㆮㄠㆯㆰㆱㆬㄢㄣㄤㆲㄥㆭㄧㄧㄨㆫㆴㆵㆻㆷ ˋ˪ˊ˫˙</v>
      </c>
      <c r="B31" s="217">
        <f xml:space="preserve"> LEN(A31)</f>
        <v>55</v>
      </c>
      <c r="D31" s="525">
        <f t="shared" si="1"/>
        <v>29</v>
      </c>
      <c r="E31" s="526" t="str">
        <f t="shared" si="2"/>
        <v>9</v>
      </c>
      <c r="G31" s="525">
        <f t="shared" si="3"/>
        <v>29</v>
      </c>
      <c r="H31" s="206" t="str">
        <f t="shared" si="4"/>
        <v>y</v>
      </c>
      <c r="I31" s="206" t="str">
        <f t="shared" si="5"/>
        <v>9</v>
      </c>
      <c r="K31" s="525">
        <f t="shared" si="6"/>
        <v>29</v>
      </c>
      <c r="L31" s="176" t="str">
        <f t="shared" si="7"/>
        <v>9</v>
      </c>
      <c r="M31" s="176" t="str">
        <f t="shared" si="8"/>
        <v>ㄞ</v>
      </c>
      <c r="O31" s="525">
        <f t="shared" si="9"/>
        <v>29</v>
      </c>
      <c r="P31" s="175" t="str">
        <f t="shared" si="10"/>
        <v>y</v>
      </c>
      <c r="Q31" s="175" t="str">
        <f t="shared" si="11"/>
        <v>ㄞ</v>
      </c>
      <c r="S31" s="161">
        <v>29</v>
      </c>
      <c r="T31" s="294" t="str">
        <f t="shared" si="0"/>
        <v>9</v>
      </c>
      <c r="U31" s="294" cm="1">
        <f t="array" ref="U31" xml:space="preserve"> MATCH(TRUE, EXACT($L$3:$L$57, T31), 0)</f>
        <v>29</v>
      </c>
      <c r="V31" s="529" t="str" cm="1">
        <f t="array" ref="V31" xml:space="preserve"> INDEX($H$3:$H$57, U31)</f>
        <v>y</v>
      </c>
      <c r="W31" s="512" cm="1">
        <f t="array" ref="W31" xml:space="preserve"> MATCH(TRUE, EXACT($I$3:$I$57, T31), 0)</f>
        <v>29</v>
      </c>
      <c r="X31" s="512" t="str" cm="1">
        <f t="array" ref="X31" xml:space="preserve"> INDEX($M$3:$M$57, 表格1_337412[[#This Row],[欄1]])</f>
        <v>ㄞ</v>
      </c>
      <c r="Z31" s="517" t="str">
        <f t="shared" si="12"/>
        <v>"9": { commit: "ㄞ" }</v>
      </c>
    </row>
    <row r="32" spans="1:26">
      <c r="D32" s="525">
        <f t="shared" si="1"/>
        <v>30</v>
      </c>
      <c r="E32" s="526" t="str">
        <f t="shared" si="2"/>
        <v>(</v>
      </c>
      <c r="G32" s="525">
        <f t="shared" si="3"/>
        <v>30</v>
      </c>
      <c r="H32" s="206" t="str">
        <f t="shared" si="4"/>
        <v>Y</v>
      </c>
      <c r="I32" s="206" t="str">
        <f t="shared" si="5"/>
        <v>(</v>
      </c>
      <c r="K32" s="525">
        <f t="shared" si="6"/>
        <v>30</v>
      </c>
      <c r="L32" s="176" t="str">
        <f t="shared" si="7"/>
        <v>(</v>
      </c>
      <c r="M32" s="176" t="str">
        <f t="shared" si="8"/>
        <v>ㆮ</v>
      </c>
      <c r="O32" s="525">
        <f t="shared" si="9"/>
        <v>30</v>
      </c>
      <c r="P32" s="175" t="str">
        <f t="shared" si="10"/>
        <v>Y</v>
      </c>
      <c r="Q32" s="175" t="str">
        <f t="shared" si="11"/>
        <v>ㆮ</v>
      </c>
      <c r="S32" s="161">
        <v>30</v>
      </c>
      <c r="T32" s="294" t="str">
        <f t="shared" si="0"/>
        <v>(</v>
      </c>
      <c r="U32" s="294" cm="1">
        <f t="array" ref="U32" xml:space="preserve"> MATCH(TRUE, EXACT($L$3:$L$57, T32), 0)</f>
        <v>30</v>
      </c>
      <c r="V32" s="529" t="str" cm="1">
        <f t="array" ref="V32" xml:space="preserve"> INDEX($H$3:$H$57, U32)</f>
        <v>Y</v>
      </c>
      <c r="W32" s="512" cm="1">
        <f t="array" ref="W32" xml:space="preserve"> MATCH(TRUE, EXACT($I$3:$I$57, T32), 0)</f>
        <v>30</v>
      </c>
      <c r="X32" s="512" t="str" cm="1">
        <f t="array" ref="X32" xml:space="preserve"> INDEX($M$3:$M$57, 表格1_337412[[#This Row],[欄1]])</f>
        <v>ㆮ</v>
      </c>
      <c r="Z32" s="517" t="str">
        <f t="shared" si="12"/>
        <v>"(": { commit: "ㆮ" }</v>
      </c>
    </row>
    <row r="33" spans="4:28">
      <c r="D33" s="525">
        <f t="shared" si="1"/>
        <v>31</v>
      </c>
      <c r="E33" s="526" t="str">
        <f t="shared" si="2"/>
        <v>l</v>
      </c>
      <c r="G33" s="525">
        <f t="shared" si="3"/>
        <v>31</v>
      </c>
      <c r="H33" s="206" t="str">
        <f t="shared" si="4"/>
        <v>x</v>
      </c>
      <c r="I33" s="206" t="str">
        <f t="shared" si="5"/>
        <v>l</v>
      </c>
      <c r="K33" s="525">
        <f t="shared" si="6"/>
        <v>31</v>
      </c>
      <c r="L33" s="176" t="str">
        <f t="shared" si="7"/>
        <v>l</v>
      </c>
      <c r="M33" s="176" t="str">
        <f t="shared" si="8"/>
        <v>ㄠ</v>
      </c>
      <c r="O33" s="525">
        <f t="shared" si="9"/>
        <v>31</v>
      </c>
      <c r="P33" s="175" t="str">
        <f t="shared" si="10"/>
        <v>x</v>
      </c>
      <c r="Q33" s="175" t="str">
        <f t="shared" si="11"/>
        <v>ㄠ</v>
      </c>
      <c r="S33" s="161">
        <v>31</v>
      </c>
      <c r="T33" s="294" t="str">
        <f t="shared" si="0"/>
        <v>l</v>
      </c>
      <c r="U33" s="294" cm="1">
        <f t="array" ref="U33" xml:space="preserve"> MATCH(TRUE, EXACT($L$3:$L$57, T33), 0)</f>
        <v>31</v>
      </c>
      <c r="V33" s="529" t="str" cm="1">
        <f t="array" ref="V33" xml:space="preserve"> INDEX($H$3:$H$57, U33)</f>
        <v>x</v>
      </c>
      <c r="W33" s="512" cm="1">
        <f t="array" ref="W33" xml:space="preserve"> MATCH(TRUE, EXACT($I$3:$I$57, T33), 0)</f>
        <v>31</v>
      </c>
      <c r="X33" s="512" t="str" cm="1">
        <f t="array" ref="X33" xml:space="preserve"> INDEX($M$3:$M$57, 表格1_337412[[#This Row],[欄1]])</f>
        <v>ㄠ</v>
      </c>
      <c r="Z33" s="517" t="str">
        <f t="shared" si="12"/>
        <v>"l": { commit: "ㄠ" }</v>
      </c>
    </row>
    <row r="34" spans="4:28">
      <c r="D34" s="525">
        <f t="shared" si="1"/>
        <v>32</v>
      </c>
      <c r="E34" s="526" t="str">
        <f t="shared" si="2"/>
        <v>L</v>
      </c>
      <c r="G34" s="525">
        <f t="shared" si="3"/>
        <v>32</v>
      </c>
      <c r="H34" s="206" t="str">
        <f t="shared" si="4"/>
        <v>X</v>
      </c>
      <c r="I34" s="206" t="str">
        <f t="shared" si="5"/>
        <v>L</v>
      </c>
      <c r="K34" s="525">
        <f t="shared" si="6"/>
        <v>32</v>
      </c>
      <c r="L34" s="176" t="str">
        <f t="shared" si="7"/>
        <v>L</v>
      </c>
      <c r="M34" s="176" t="str">
        <f t="shared" si="8"/>
        <v>ㆯ</v>
      </c>
      <c r="O34" s="525">
        <f t="shared" si="9"/>
        <v>32</v>
      </c>
      <c r="P34" s="175" t="str">
        <f t="shared" si="10"/>
        <v>X</v>
      </c>
      <c r="Q34" s="175" t="str">
        <f t="shared" si="11"/>
        <v>ㆯ</v>
      </c>
      <c r="S34" s="161">
        <v>32</v>
      </c>
      <c r="T34" s="294" t="str">
        <f t="shared" si="0"/>
        <v>L</v>
      </c>
      <c r="U34" s="294" cm="1">
        <f t="array" ref="U34" xml:space="preserve"> MATCH(TRUE, EXACT($L$3:$L$57, T34), 0)</f>
        <v>32</v>
      </c>
      <c r="V34" s="529" t="str" cm="1">
        <f t="array" ref="V34" xml:space="preserve"> INDEX($H$3:$H$57, U34)</f>
        <v>X</v>
      </c>
      <c r="W34" s="512" cm="1">
        <f t="array" ref="W34" xml:space="preserve"> MATCH(TRUE, EXACT($I$3:$I$57, T34), 0)</f>
        <v>32</v>
      </c>
      <c r="X34" s="512" t="str" cm="1">
        <f t="array" ref="X34" xml:space="preserve"> INDEX($M$3:$M$57, 表格1_337412[[#This Row],[欄1]])</f>
        <v>ㆯ</v>
      </c>
      <c r="Z34" s="517" t="str">
        <f t="shared" si="12"/>
        <v>"L": { commit: "ㆯ" }</v>
      </c>
    </row>
    <row r="35" spans="4:28">
      <c r="D35" s="525">
        <f t="shared" si="1"/>
        <v>33</v>
      </c>
      <c r="E35" s="526" t="str">
        <f t="shared" si="2"/>
        <v>,</v>
      </c>
      <c r="G35" s="525">
        <f t="shared" si="3"/>
        <v>33</v>
      </c>
      <c r="H35" s="206" t="str">
        <f t="shared" si="4"/>
        <v>{</v>
      </c>
      <c r="I35" s="206" t="str">
        <f t="shared" si="5"/>
        <v>,</v>
      </c>
      <c r="K35" s="525">
        <f t="shared" si="6"/>
        <v>33</v>
      </c>
      <c r="L35" s="176" t="str">
        <f t="shared" si="7"/>
        <v>,</v>
      </c>
      <c r="M35" s="176" t="str">
        <f t="shared" si="8"/>
        <v>ㆰ</v>
      </c>
      <c r="O35" s="525">
        <f t="shared" si="9"/>
        <v>33</v>
      </c>
      <c r="P35" s="175" t="str">
        <f t="shared" si="10"/>
        <v>{</v>
      </c>
      <c r="Q35" s="175" t="str">
        <f t="shared" si="11"/>
        <v>ㆰ</v>
      </c>
      <c r="S35" s="161">
        <v>33</v>
      </c>
      <c r="T35" s="294" t="str">
        <f t="shared" ref="T35:T57" si="13">E35</f>
        <v>,</v>
      </c>
      <c r="U35" s="294" cm="1">
        <f t="array" ref="U35" xml:space="preserve"> MATCH(TRUE, EXACT($L$3:$L$57, T35), 0)</f>
        <v>33</v>
      </c>
      <c r="V35" s="529" t="str" cm="1">
        <f t="array" ref="V35" xml:space="preserve"> INDEX($H$3:$H$57, U35)</f>
        <v>{</v>
      </c>
      <c r="W35" s="512" cm="1">
        <f t="array" ref="W35" xml:space="preserve"> MATCH(TRUE, EXACT($I$3:$I$57, T35), 0)</f>
        <v>33</v>
      </c>
      <c r="X35" s="512" t="str" cm="1">
        <f t="array" ref="X35" xml:space="preserve"> INDEX($M$3:$M$57, 表格1_337412[[#This Row],[欄1]])</f>
        <v>ㆰ</v>
      </c>
      <c r="Z35" s="517" t="str">
        <f t="shared" si="12"/>
        <v>",": { commit: "ㆰ" }</v>
      </c>
    </row>
    <row r="36" spans="4:28">
      <c r="D36" s="525">
        <f t="shared" si="1"/>
        <v>34</v>
      </c>
      <c r="E36" s="526" t="str">
        <f t="shared" si="2"/>
        <v>&lt;</v>
      </c>
      <c r="G36" s="525">
        <f t="shared" si="3"/>
        <v>34</v>
      </c>
      <c r="H36" s="206" t="str">
        <f t="shared" si="4"/>
        <v>}</v>
      </c>
      <c r="I36" s="206" t="str">
        <f t="shared" si="5"/>
        <v>&lt;</v>
      </c>
      <c r="K36" s="525">
        <f t="shared" si="6"/>
        <v>34</v>
      </c>
      <c r="L36" s="176" t="str">
        <f t="shared" si="7"/>
        <v>&lt;</v>
      </c>
      <c r="M36" s="176" t="str">
        <f t="shared" si="8"/>
        <v>ㆱ</v>
      </c>
      <c r="O36" s="525">
        <f t="shared" si="9"/>
        <v>34</v>
      </c>
      <c r="P36" s="175" t="str">
        <f t="shared" si="10"/>
        <v>}</v>
      </c>
      <c r="Q36" s="175" t="str">
        <f t="shared" si="11"/>
        <v>ㆱ</v>
      </c>
      <c r="S36" s="161">
        <v>34</v>
      </c>
      <c r="T36" s="294" t="str">
        <f t="shared" si="13"/>
        <v>&lt;</v>
      </c>
      <c r="U36" s="294" cm="1">
        <f t="array" ref="U36" xml:space="preserve"> MATCH(TRUE, EXACT($L$3:$L$57, T36), 0)</f>
        <v>34</v>
      </c>
      <c r="V36" s="529" t="str" cm="1">
        <f t="array" ref="V36" xml:space="preserve"> INDEX($H$3:$H$57, U36)</f>
        <v>}</v>
      </c>
      <c r="W36" s="512" cm="1">
        <f t="array" ref="W36" xml:space="preserve"> MATCH(TRUE, EXACT($I$3:$I$57, T36), 0)</f>
        <v>34</v>
      </c>
      <c r="X36" s="512" t="str" cm="1">
        <f t="array" ref="X36" xml:space="preserve"> INDEX($M$3:$M$57, 表格1_337412[[#This Row],[欄1]])</f>
        <v>ㆱ</v>
      </c>
      <c r="Z36" s="517" t="str">
        <f t="shared" si="12"/>
        <v>"&lt;": { commit: "ㆱ" }</v>
      </c>
    </row>
    <row r="37" spans="4:28">
      <c r="D37" s="525">
        <f t="shared" si="1"/>
        <v>35</v>
      </c>
      <c r="E37" s="526" t="str">
        <f t="shared" si="2"/>
        <v>m</v>
      </c>
      <c r="G37" s="525">
        <f t="shared" si="3"/>
        <v>35</v>
      </c>
      <c r="H37" s="206" t="str">
        <f t="shared" si="4"/>
        <v>M</v>
      </c>
      <c r="I37" s="206" t="str">
        <f t="shared" si="5"/>
        <v>m</v>
      </c>
      <c r="K37" s="525">
        <f t="shared" si="6"/>
        <v>35</v>
      </c>
      <c r="L37" s="176" t="str">
        <f t="shared" si="7"/>
        <v>m</v>
      </c>
      <c r="M37" s="176" t="str">
        <f t="shared" si="8"/>
        <v>ㆬ</v>
      </c>
      <c r="O37" s="525">
        <f t="shared" si="9"/>
        <v>35</v>
      </c>
      <c r="P37" s="175" t="str">
        <f t="shared" si="10"/>
        <v>M</v>
      </c>
      <c r="Q37" s="175" t="str">
        <f t="shared" si="11"/>
        <v>ㆬ</v>
      </c>
      <c r="S37" s="161">
        <v>35</v>
      </c>
      <c r="T37" s="294" t="str">
        <f t="shared" si="13"/>
        <v>m</v>
      </c>
      <c r="U37" s="294" cm="1">
        <f t="array" ref="U37" xml:space="preserve"> MATCH(TRUE, EXACT($L$3:$L$57, T37), 0)</f>
        <v>35</v>
      </c>
      <c r="V37" s="529" t="str" cm="1">
        <f t="array" ref="V37" xml:space="preserve"> INDEX($H$3:$H$57, U37)</f>
        <v>M</v>
      </c>
      <c r="W37" s="512" cm="1">
        <f t="array" ref="W37" xml:space="preserve"> MATCH(TRUE, EXACT($I$3:$I$57, T37), 0)</f>
        <v>35</v>
      </c>
      <c r="X37" s="512" t="str" cm="1">
        <f t="array" ref="X37" xml:space="preserve"> INDEX($M$3:$M$57, 表格1_337412[[#This Row],[欄1]])</f>
        <v>ㆬ</v>
      </c>
      <c r="Z37" s="517" t="str">
        <f t="shared" si="12"/>
        <v>"m": { commit: "ㆬ" }</v>
      </c>
    </row>
    <row r="38" spans="4:28">
      <c r="D38" s="525">
        <f t="shared" si="1"/>
        <v>36</v>
      </c>
      <c r="E38" s="526" t="str">
        <f t="shared" si="2"/>
        <v>0</v>
      </c>
      <c r="G38" s="525">
        <f t="shared" si="3"/>
        <v>36</v>
      </c>
      <c r="H38" s="513" t="str">
        <f t="shared" si="4"/>
        <v>@</v>
      </c>
      <c r="I38" s="206" t="str">
        <f t="shared" si="5"/>
        <v>0</v>
      </c>
      <c r="K38" s="525">
        <f t="shared" si="6"/>
        <v>36</v>
      </c>
      <c r="L38" s="176" t="str">
        <f t="shared" si="7"/>
        <v>0</v>
      </c>
      <c r="M38" s="176" t="str">
        <f t="shared" si="8"/>
        <v>ㄢ</v>
      </c>
      <c r="O38" s="525">
        <f t="shared" si="9"/>
        <v>36</v>
      </c>
      <c r="P38" s="175" t="str">
        <f t="shared" si="10"/>
        <v>@</v>
      </c>
      <c r="Q38" s="175" t="str">
        <f t="shared" si="11"/>
        <v>ㄢ</v>
      </c>
      <c r="S38" s="161">
        <v>36</v>
      </c>
      <c r="T38" s="294" t="str">
        <f t="shared" si="13"/>
        <v>0</v>
      </c>
      <c r="U38" s="294" cm="1">
        <f t="array" ref="U38" xml:space="preserve"> MATCH(TRUE, EXACT($L$3:$L$57, T38), 0)</f>
        <v>36</v>
      </c>
      <c r="V38" s="529" t="str" cm="1">
        <f t="array" ref="V38" xml:space="preserve"> INDEX($H$3:$H$57, U38)</f>
        <v>@</v>
      </c>
      <c r="W38" s="512" cm="1">
        <f t="array" ref="W38" xml:space="preserve"> MATCH(TRUE, EXACT($I$3:$I$57, T38), 0)</f>
        <v>36</v>
      </c>
      <c r="X38" s="512" t="str" cm="1">
        <f t="array" ref="X38" xml:space="preserve"> INDEX($M$3:$M$57, 表格1_337412[[#This Row],[欄1]])</f>
        <v>ㄢ</v>
      </c>
      <c r="Z38" s="517" t="str">
        <f t="shared" si="12"/>
        <v>"0": { commit: "ㄢ" }</v>
      </c>
    </row>
    <row r="39" spans="4:28">
      <c r="D39" s="525">
        <f t="shared" si="1"/>
        <v>37</v>
      </c>
      <c r="E39" s="526" t="str">
        <f t="shared" si="2"/>
        <v>p</v>
      </c>
      <c r="G39" s="525">
        <f t="shared" si="3"/>
        <v>37</v>
      </c>
      <c r="H39" s="206" t="str">
        <f t="shared" si="4"/>
        <v>N</v>
      </c>
      <c r="I39" s="206" t="str">
        <f t="shared" si="5"/>
        <v>p</v>
      </c>
      <c r="K39" s="525">
        <f t="shared" si="6"/>
        <v>37</v>
      </c>
      <c r="L39" s="176" t="str">
        <f t="shared" si="7"/>
        <v>p</v>
      </c>
      <c r="M39" s="176" t="str">
        <f t="shared" si="8"/>
        <v>ㄣ</v>
      </c>
      <c r="O39" s="525">
        <f t="shared" si="9"/>
        <v>37</v>
      </c>
      <c r="P39" s="175" t="str">
        <f t="shared" si="10"/>
        <v>N</v>
      </c>
      <c r="Q39" s="175" t="str">
        <f t="shared" si="11"/>
        <v>ㄣ</v>
      </c>
      <c r="S39" s="161">
        <v>37</v>
      </c>
      <c r="T39" s="294" t="str">
        <f t="shared" si="13"/>
        <v>p</v>
      </c>
      <c r="U39" s="294" cm="1">
        <f t="array" ref="U39" xml:space="preserve"> MATCH(TRUE, EXACT($L$3:$L$57, T39), 0)</f>
        <v>37</v>
      </c>
      <c r="V39" s="529" t="str" cm="1">
        <f t="array" ref="V39" xml:space="preserve"> INDEX($H$3:$H$57, U39)</f>
        <v>N</v>
      </c>
      <c r="W39" s="512" cm="1">
        <f t="array" ref="W39" xml:space="preserve"> MATCH(TRUE, EXACT($I$3:$I$57, T39), 0)</f>
        <v>37</v>
      </c>
      <c r="X39" s="512" t="str" cm="1">
        <f t="array" ref="X39" xml:space="preserve"> INDEX($M$3:$M$57, 表格1_337412[[#This Row],[欄1]])</f>
        <v>ㄣ</v>
      </c>
      <c r="Z39" s="517" t="str">
        <f t="shared" si="12"/>
        <v>"p": { commit: "ㄣ" }</v>
      </c>
    </row>
    <row r="40" spans="4:28">
      <c r="D40" s="525">
        <f t="shared" si="1"/>
        <v>38</v>
      </c>
      <c r="E40" s="526" t="str">
        <f t="shared" si="2"/>
        <v>;</v>
      </c>
      <c r="G40" s="525">
        <f t="shared" si="3"/>
        <v>38</v>
      </c>
      <c r="H40" s="206" t="str">
        <f t="shared" si="4"/>
        <v>[</v>
      </c>
      <c r="I40" s="206" t="str">
        <f t="shared" si="5"/>
        <v>;</v>
      </c>
      <c r="K40" s="525">
        <f t="shared" si="6"/>
        <v>38</v>
      </c>
      <c r="L40" s="176" t="str">
        <f t="shared" si="7"/>
        <v>;</v>
      </c>
      <c r="M40" s="176" t="str">
        <f t="shared" si="8"/>
        <v>ㄤ</v>
      </c>
      <c r="O40" s="525">
        <f t="shared" si="9"/>
        <v>38</v>
      </c>
      <c r="P40" s="175" t="str">
        <f t="shared" si="10"/>
        <v>[</v>
      </c>
      <c r="Q40" s="175" t="str">
        <f t="shared" si="11"/>
        <v>ㄤ</v>
      </c>
      <c r="S40" s="161">
        <v>38</v>
      </c>
      <c r="T40" s="294" t="str">
        <f t="shared" si="13"/>
        <v>;</v>
      </c>
      <c r="U40" s="294" cm="1">
        <f t="array" ref="U40" xml:space="preserve"> MATCH(TRUE, EXACT($L$3:$L$57, T40), 0)</f>
        <v>38</v>
      </c>
      <c r="V40" s="529" t="str" cm="1">
        <f t="array" ref="V40" xml:space="preserve"> INDEX($H$3:$H$57, U40)</f>
        <v>[</v>
      </c>
      <c r="W40" s="512" cm="1">
        <f t="array" ref="W40" xml:space="preserve"> MATCH(TRUE, EXACT($I$3:$I$57, T40), 0)</f>
        <v>38</v>
      </c>
      <c r="X40" s="512" t="str" cm="1">
        <f t="array" ref="X40" xml:space="preserve"> INDEX($M$3:$M$57, 表格1_337412[[#This Row],[欄1]])</f>
        <v>ㄤ</v>
      </c>
      <c r="Z40" s="517" t="str">
        <f t="shared" si="12"/>
        <v>";": { commit: "ㄤ" }</v>
      </c>
    </row>
    <row r="41" spans="4:28">
      <c r="D41" s="525">
        <f t="shared" si="1"/>
        <v>39</v>
      </c>
      <c r="E41" s="526" t="str">
        <f t="shared" si="2"/>
        <v>:</v>
      </c>
      <c r="G41" s="525">
        <f t="shared" si="3"/>
        <v>39</v>
      </c>
      <c r="H41" s="206" t="str">
        <f t="shared" si="4"/>
        <v>]</v>
      </c>
      <c r="I41" s="206" t="str">
        <f t="shared" si="5"/>
        <v>:</v>
      </c>
      <c r="K41" s="525">
        <f t="shared" si="6"/>
        <v>39</v>
      </c>
      <c r="L41" s="176" t="str">
        <f t="shared" si="7"/>
        <v>:</v>
      </c>
      <c r="M41" s="176" t="str">
        <f t="shared" si="8"/>
        <v>ㆲ</v>
      </c>
      <c r="O41" s="525">
        <f t="shared" si="9"/>
        <v>39</v>
      </c>
      <c r="P41" s="175" t="str">
        <f t="shared" si="10"/>
        <v>]</v>
      </c>
      <c r="Q41" s="175" t="str">
        <f t="shared" si="11"/>
        <v>ㆲ</v>
      </c>
      <c r="S41" s="161">
        <v>39</v>
      </c>
      <c r="T41" s="294" t="str">
        <f t="shared" si="13"/>
        <v>:</v>
      </c>
      <c r="U41" s="294" cm="1">
        <f t="array" ref="U41" xml:space="preserve"> MATCH(TRUE, EXACT($L$3:$L$57, T41), 0)</f>
        <v>39</v>
      </c>
      <c r="V41" s="529" t="str" cm="1">
        <f t="array" ref="V41" xml:space="preserve"> INDEX($H$3:$H$57, U41)</f>
        <v>]</v>
      </c>
      <c r="W41" s="512" cm="1">
        <f t="array" ref="W41" xml:space="preserve"> MATCH(TRUE, EXACT($I$3:$I$57, T41), 0)</f>
        <v>39</v>
      </c>
      <c r="X41" s="512" t="str" cm="1">
        <f t="array" ref="X41" xml:space="preserve"> INDEX($M$3:$M$57, 表格1_337412[[#This Row],[欄1]])</f>
        <v>ㆲ</v>
      </c>
      <c r="Z41" s="517" t="str">
        <f t="shared" si="12"/>
        <v>":": { commit: "ㆲ" }</v>
      </c>
    </row>
    <row r="42" spans="4:28">
      <c r="D42" s="525">
        <f t="shared" si="1"/>
        <v>40</v>
      </c>
      <c r="E42" s="526" t="str">
        <f t="shared" si="2"/>
        <v>/</v>
      </c>
      <c r="G42" s="525">
        <f t="shared" si="3"/>
        <v>40</v>
      </c>
      <c r="H42" s="206" t="str">
        <f t="shared" si="4"/>
        <v>R</v>
      </c>
      <c r="I42" s="206" t="str">
        <f t="shared" si="5"/>
        <v>/</v>
      </c>
      <c r="K42" s="525">
        <f t="shared" si="6"/>
        <v>40</v>
      </c>
      <c r="L42" s="176" t="str">
        <f t="shared" si="7"/>
        <v>/</v>
      </c>
      <c r="M42" s="176" t="str">
        <f t="shared" si="8"/>
        <v>ㄥ</v>
      </c>
      <c r="O42" s="525">
        <f t="shared" si="9"/>
        <v>40</v>
      </c>
      <c r="P42" s="175" t="str">
        <f t="shared" si="10"/>
        <v>R</v>
      </c>
      <c r="Q42" s="175" t="str">
        <f t="shared" si="11"/>
        <v>ㄥ</v>
      </c>
      <c r="S42" s="161">
        <v>40</v>
      </c>
      <c r="T42" s="532" t="str">
        <f t="shared" si="13"/>
        <v>/</v>
      </c>
      <c r="U42" s="532" cm="1">
        <f t="array" ref="U42" xml:space="preserve"> MATCH(TRUE, EXACT($L$3:$L$57, T42), 0)</f>
        <v>40</v>
      </c>
      <c r="V42" s="533" t="str" cm="1">
        <f t="array" ref="V42" xml:space="preserve"> INDEX($H$3:$H$57, U42)</f>
        <v>R</v>
      </c>
      <c r="W42" s="534" cm="1">
        <f t="array" ref="W42" xml:space="preserve"> MATCH(TRUE, EXACT($I$3:$I$57, T42), 0)</f>
        <v>40</v>
      </c>
      <c r="X42" s="534" t="str" cm="1">
        <f t="array" ref="X42" xml:space="preserve"> INDEX($M$3:$M$57, 表格1_337412[[#This Row],[欄1]])</f>
        <v>ㄥ</v>
      </c>
      <c r="Z42" s="517" t="str">
        <f t="shared" si="12"/>
        <v>"/": { commit: "ㄥ" }</v>
      </c>
    </row>
    <row r="43" spans="4:28">
      <c r="D43" s="525">
        <f t="shared" si="1"/>
        <v>41</v>
      </c>
      <c r="E43" s="526" t="str">
        <f t="shared" si="2"/>
        <v>-</v>
      </c>
      <c r="G43" s="525">
        <f t="shared" si="3"/>
        <v>41</v>
      </c>
      <c r="H43" s="206" t="str">
        <f t="shared" si="4"/>
        <v>r</v>
      </c>
      <c r="I43" s="206" t="str">
        <f t="shared" si="5"/>
        <v>-</v>
      </c>
      <c r="K43" s="525">
        <f t="shared" si="6"/>
        <v>41</v>
      </c>
      <c r="L43" s="176" t="str">
        <f t="shared" si="7"/>
        <v>-</v>
      </c>
      <c r="M43" s="176" t="str">
        <f t="shared" si="8"/>
        <v>ㆭ</v>
      </c>
      <c r="O43" s="525">
        <f t="shared" si="9"/>
        <v>41</v>
      </c>
      <c r="P43" s="175" t="str">
        <f t="shared" si="10"/>
        <v>r</v>
      </c>
      <c r="Q43" s="175" t="str">
        <f t="shared" si="11"/>
        <v>ㆭ</v>
      </c>
      <c r="S43" s="161">
        <v>41</v>
      </c>
      <c r="T43" s="532" t="str">
        <f t="shared" si="13"/>
        <v>-</v>
      </c>
      <c r="U43" s="532" cm="1">
        <f t="array" ref="U43" xml:space="preserve"> MATCH(TRUE, EXACT($L$3:$L$57, T43), 0)</f>
        <v>41</v>
      </c>
      <c r="V43" s="533" t="str" cm="1">
        <f t="array" ref="V43" xml:space="preserve"> INDEX($H$3:$H$57, U43)</f>
        <v>r</v>
      </c>
      <c r="W43" s="534" cm="1">
        <f t="array" ref="W43" xml:space="preserve"> MATCH(TRUE, EXACT($I$3:$I$57, T43), 0)</f>
        <v>41</v>
      </c>
      <c r="X43" s="534" t="str" cm="1">
        <f t="array" ref="X43" xml:space="preserve"> INDEX($M$3:$M$57, 表格1_337412[[#This Row],[欄1]])</f>
        <v>ㆭ</v>
      </c>
      <c r="Z43" s="517" t="str">
        <f t="shared" si="12"/>
        <v>"-": { commit: "ㆭ" }</v>
      </c>
    </row>
    <row r="44" spans="4:28">
      <c r="D44" s="525">
        <f t="shared" si="1"/>
        <v>42</v>
      </c>
      <c r="E44" s="526" t="str">
        <f t="shared" si="2"/>
        <v>u</v>
      </c>
      <c r="G44" s="525">
        <f t="shared" si="3"/>
        <v>42</v>
      </c>
      <c r="H44" s="206" t="str">
        <f t="shared" si="4"/>
        <v>i</v>
      </c>
      <c r="I44" s="206" t="str">
        <f t="shared" si="5"/>
        <v>u</v>
      </c>
      <c r="K44" s="525">
        <f t="shared" si="6"/>
        <v>42</v>
      </c>
      <c r="L44" s="176" t="str">
        <f t="shared" si="7"/>
        <v>u</v>
      </c>
      <c r="M44" s="176" t="str">
        <f t="shared" si="8"/>
        <v>ㄧ</v>
      </c>
      <c r="O44" s="525">
        <f t="shared" si="9"/>
        <v>42</v>
      </c>
      <c r="P44" s="175" t="str">
        <f t="shared" si="10"/>
        <v>i</v>
      </c>
      <c r="Q44" s="175" t="str">
        <f t="shared" si="11"/>
        <v>ㄧ</v>
      </c>
      <c r="S44" s="161">
        <v>42</v>
      </c>
      <c r="T44" s="294" t="str">
        <f t="shared" si="13"/>
        <v>u</v>
      </c>
      <c r="U44" s="294" cm="1">
        <f t="array" ref="U44" xml:space="preserve"> MATCH(TRUE, EXACT($L$3:$L$57, T44), 0)</f>
        <v>42</v>
      </c>
      <c r="V44" s="529" t="str" cm="1">
        <f t="array" ref="V44" xml:space="preserve"> INDEX($H$3:$H$57, U44)</f>
        <v>i</v>
      </c>
      <c r="W44" s="512" cm="1">
        <f t="array" ref="W44" xml:space="preserve"> MATCH(TRUE, EXACT($I$3:$I$57, T44), 0)</f>
        <v>42</v>
      </c>
      <c r="X44" s="512" t="str" cm="1">
        <f t="array" ref="X44" xml:space="preserve"> INDEX($M$3:$M$57, 表格1_337412[[#This Row],[欄1]])</f>
        <v>ㄧ</v>
      </c>
      <c r="Z44" s="517" t="str">
        <f t="shared" si="12"/>
        <v>"u": { commit: "ㄧ" }</v>
      </c>
    </row>
    <row r="45" spans="4:28">
      <c r="D45" s="525">
        <f t="shared" si="1"/>
        <v>43</v>
      </c>
      <c r="E45" s="526" t="str">
        <f t="shared" si="2"/>
        <v>U</v>
      </c>
      <c r="G45" s="525">
        <f t="shared" si="3"/>
        <v>43</v>
      </c>
      <c r="H45" s="206" t="str">
        <f t="shared" si="4"/>
        <v>I</v>
      </c>
      <c r="I45" s="206" t="str">
        <f t="shared" si="5"/>
        <v>U</v>
      </c>
      <c r="K45" s="525">
        <f t="shared" si="6"/>
        <v>43</v>
      </c>
      <c r="L45" s="176" t="str">
        <f t="shared" si="7"/>
        <v>U</v>
      </c>
      <c r="M45" s="176" t="str">
        <f t="shared" si="8"/>
        <v>ㆪ</v>
      </c>
      <c r="O45" s="525">
        <f t="shared" si="9"/>
        <v>43</v>
      </c>
      <c r="P45" s="175" t="str">
        <f t="shared" si="10"/>
        <v>I</v>
      </c>
      <c r="Q45" s="175" t="str">
        <f t="shared" si="11"/>
        <v>ㄧ</v>
      </c>
      <c r="S45" s="161">
        <v>43</v>
      </c>
      <c r="T45" s="294" t="str">
        <f t="shared" si="13"/>
        <v>U</v>
      </c>
      <c r="U45" s="294" cm="1">
        <f t="array" ref="U45" xml:space="preserve"> MATCH(TRUE, EXACT($L$3:$L$57, T45), 0)</f>
        <v>43</v>
      </c>
      <c r="V45" s="529" t="str" cm="1">
        <f t="array" ref="V45" xml:space="preserve"> INDEX($H$3:$H$57, U45)</f>
        <v>I</v>
      </c>
      <c r="W45" s="512" cm="1">
        <f t="array" ref="W45" xml:space="preserve"> MATCH(TRUE, EXACT($I$3:$I$57, T45), 0)</f>
        <v>43</v>
      </c>
      <c r="X45" s="512" t="str" cm="1">
        <f t="array" ref="X45" xml:space="preserve"> INDEX($M$3:$M$57, 表格1_337412[[#This Row],[欄1]])</f>
        <v>ㆪ</v>
      </c>
      <c r="Z45" s="517" t="str">
        <f t="shared" si="12"/>
        <v>"U": { commit: "ㆪ" }</v>
      </c>
    </row>
    <row r="46" spans="4:28">
      <c r="D46" s="525">
        <f t="shared" si="1"/>
        <v>44</v>
      </c>
      <c r="E46" s="526" t="str">
        <f t="shared" si="2"/>
        <v>j</v>
      </c>
      <c r="G46" s="525">
        <f t="shared" si="3"/>
        <v>44</v>
      </c>
      <c r="H46" s="206" t="str">
        <f t="shared" si="4"/>
        <v>u</v>
      </c>
      <c r="I46" s="206" t="str">
        <f t="shared" si="5"/>
        <v>j</v>
      </c>
      <c r="K46" s="525">
        <f t="shared" si="6"/>
        <v>44</v>
      </c>
      <c r="L46" s="176" t="str">
        <f t="shared" si="7"/>
        <v>j</v>
      </c>
      <c r="M46" s="176" t="str">
        <f t="shared" si="8"/>
        <v>ㄨ</v>
      </c>
      <c r="O46" s="525">
        <f t="shared" si="9"/>
        <v>44</v>
      </c>
      <c r="P46" s="175" t="str">
        <f t="shared" si="10"/>
        <v>u</v>
      </c>
      <c r="Q46" s="175" t="str">
        <f t="shared" si="11"/>
        <v>ㄨ</v>
      </c>
      <c r="S46" s="161">
        <v>44</v>
      </c>
      <c r="T46" s="294" t="str">
        <f t="shared" si="13"/>
        <v>j</v>
      </c>
      <c r="U46" s="294" cm="1">
        <f t="array" ref="U46" xml:space="preserve"> MATCH(TRUE, EXACT($L$3:$L$57, T46), 0)</f>
        <v>44</v>
      </c>
      <c r="V46" s="529" t="str" cm="1">
        <f t="array" ref="V46" xml:space="preserve"> INDEX($H$3:$H$57, U46)</f>
        <v>u</v>
      </c>
      <c r="W46" s="512" cm="1">
        <f t="array" ref="W46" xml:space="preserve"> MATCH(TRUE, EXACT($I$3:$I$57, T46), 0)</f>
        <v>44</v>
      </c>
      <c r="X46" s="512" t="str" cm="1">
        <f t="array" ref="X46" xml:space="preserve"> INDEX($M$3:$M$57, 表格1_337412[[#This Row],[欄1]])</f>
        <v>ㄨ</v>
      </c>
      <c r="Z46" s="517" t="str">
        <f t="shared" si="12"/>
        <v>"j": { commit: "ㄨ" }</v>
      </c>
      <c r="AB46" s="240" t="str">
        <f xml:space="preserve"> _xlfn.CONCAT(V3:V23)</f>
        <v>pbPmtTnlkgKGhZJCSzjcs</v>
      </c>
    </row>
    <row r="47" spans="4:28">
      <c r="D47" s="525">
        <f t="shared" si="1"/>
        <v>45</v>
      </c>
      <c r="E47" s="526" t="str">
        <f t="shared" si="2"/>
        <v>J</v>
      </c>
      <c r="G47" s="525">
        <f t="shared" si="3"/>
        <v>45</v>
      </c>
      <c r="H47" s="206" t="str">
        <f t="shared" si="4"/>
        <v>U</v>
      </c>
      <c r="I47" s="206" t="str">
        <f t="shared" si="5"/>
        <v>J</v>
      </c>
      <c r="K47" s="525">
        <f t="shared" si="6"/>
        <v>45</v>
      </c>
      <c r="L47" s="176" t="str">
        <f t="shared" si="7"/>
        <v>J</v>
      </c>
      <c r="M47" s="176" t="str">
        <f t="shared" si="8"/>
        <v>ㆫ</v>
      </c>
      <c r="O47" s="525">
        <f t="shared" si="9"/>
        <v>45</v>
      </c>
      <c r="P47" s="175" t="str">
        <f t="shared" si="10"/>
        <v>U</v>
      </c>
      <c r="Q47" s="175" t="str">
        <f t="shared" si="11"/>
        <v>ㆫ</v>
      </c>
      <c r="S47" s="161">
        <v>45</v>
      </c>
      <c r="T47" s="294" t="str">
        <f t="shared" si="13"/>
        <v>J</v>
      </c>
      <c r="U47" s="294" cm="1">
        <f t="array" ref="U47" xml:space="preserve"> MATCH(TRUE, EXACT($L$3:$L$57, T47), 0)</f>
        <v>45</v>
      </c>
      <c r="V47" s="529" t="str" cm="1">
        <f t="array" ref="V47" xml:space="preserve"> INDEX($H$3:$H$57, U47)</f>
        <v>U</v>
      </c>
      <c r="W47" s="512" cm="1">
        <f t="array" ref="W47" xml:space="preserve"> MATCH(TRUE, EXACT($I$3:$I$57, T47), 0)</f>
        <v>45</v>
      </c>
      <c r="X47" s="512" t="str" cm="1">
        <f t="array" ref="X47" xml:space="preserve"> INDEX($M$3:$M$57, 表格1_337412[[#This Row],[欄1]])</f>
        <v>ㆫ</v>
      </c>
      <c r="Z47" s="517" t="str">
        <f t="shared" si="12"/>
        <v>"J": { commit: "ㆫ" }</v>
      </c>
    </row>
    <row r="48" spans="4:28">
      <c r="D48" s="525">
        <f t="shared" si="1"/>
        <v>46</v>
      </c>
      <c r="E48" s="526" t="str">
        <f t="shared" si="2"/>
        <v>b</v>
      </c>
      <c r="G48" s="525">
        <f t="shared" si="3"/>
        <v>46</v>
      </c>
      <c r="H48" s="206" t="str">
        <f t="shared" si="4"/>
        <v>1</v>
      </c>
      <c r="I48" s="206" t="str">
        <f t="shared" si="5"/>
        <v xml:space="preserve"> </v>
      </c>
      <c r="K48" s="525">
        <f t="shared" si="6"/>
        <v>46</v>
      </c>
      <c r="L48" s="176" t="str">
        <f t="shared" si="7"/>
        <v xml:space="preserve"> </v>
      </c>
      <c r="M48" s="176" t="str">
        <f t="shared" si="8"/>
        <v xml:space="preserve"> </v>
      </c>
      <c r="O48" s="525">
        <f t="shared" si="9"/>
        <v>46</v>
      </c>
      <c r="P48" s="175" t="str">
        <f t="shared" si="10"/>
        <v>9</v>
      </c>
      <c r="Q48" s="175" t="str">
        <f t="shared" si="11"/>
        <v>ㆴ</v>
      </c>
      <c r="S48" s="161">
        <v>46</v>
      </c>
      <c r="T48" s="294" t="str">
        <f t="shared" si="13"/>
        <v>b</v>
      </c>
      <c r="U48" s="294" cm="1">
        <f t="array" ref="U48" xml:space="preserve"> MATCH(TRUE, EXACT($L$3:$L$57, T48), 0)</f>
        <v>49</v>
      </c>
      <c r="V48" s="529" t="str" cm="1">
        <f t="array" ref="V48" xml:space="preserve"> INDEX($H$3:$H$57, U48)</f>
        <v>9</v>
      </c>
      <c r="W48" s="512" cm="1">
        <f t="array" ref="W48" xml:space="preserve"> MATCH(TRUE, EXACT($I$3:$I$57, T48), 0)</f>
        <v>49</v>
      </c>
      <c r="X48" s="512" t="str" cm="1">
        <f t="array" ref="X48" xml:space="preserve"> INDEX($M$3:$M$57, 表格1_337412[[#This Row],[欄1]])</f>
        <v>ㆴ</v>
      </c>
    </row>
    <row r="49" spans="4:28">
      <c r="D49" s="525">
        <f t="shared" si="1"/>
        <v>47</v>
      </c>
      <c r="E49" s="526" t="str">
        <f t="shared" si="2"/>
        <v>t</v>
      </c>
      <c r="G49" s="525">
        <f t="shared" si="3"/>
        <v>47</v>
      </c>
      <c r="H49" s="206" t="str">
        <f t="shared" si="4"/>
        <v>2</v>
      </c>
      <c r="I49" s="206" t="str">
        <f t="shared" si="5"/>
        <v>4</v>
      </c>
      <c r="K49" s="525">
        <f t="shared" si="6"/>
        <v>47</v>
      </c>
      <c r="L49" s="176" t="str">
        <f t="shared" si="7"/>
        <v>4</v>
      </c>
      <c r="M49" s="176" t="str">
        <f t="shared" si="8"/>
        <v>ˋ</v>
      </c>
      <c r="O49" s="525">
        <f t="shared" si="9"/>
        <v>47</v>
      </c>
      <c r="P49" s="175" t="str">
        <f t="shared" si="10"/>
        <v>&gt;</v>
      </c>
      <c r="Q49" s="175" t="str">
        <f t="shared" si="11"/>
        <v>ㆵ</v>
      </c>
      <c r="S49" s="161">
        <v>47</v>
      </c>
      <c r="T49" s="294" t="str">
        <f t="shared" si="13"/>
        <v>t</v>
      </c>
      <c r="U49" s="294" cm="1">
        <f t="array" ref="U49" xml:space="preserve"> MATCH(TRUE, EXACT($L$3:$L$57, T49), 0)</f>
        <v>50</v>
      </c>
      <c r="V49" s="529" t="str" cm="1">
        <f t="array" ref="V49" xml:space="preserve"> INDEX($H$3:$H$57, U49)</f>
        <v>&gt;</v>
      </c>
      <c r="W49" s="512" cm="1">
        <f t="array" ref="W49" xml:space="preserve"> MATCH(TRUE, EXACT($I$3:$I$57, T49), 0)</f>
        <v>50</v>
      </c>
      <c r="X49" s="512" t="str" cm="1">
        <f t="array" ref="X49" xml:space="preserve"> INDEX($M$3:$M$57, 表格1_337412[[#This Row],[欄1]])</f>
        <v>ㆵ</v>
      </c>
      <c r="AB49" t="s">
        <v>907</v>
      </c>
    </row>
    <row r="50" spans="4:28">
      <c r="D50" s="525">
        <f t="shared" si="1"/>
        <v>48</v>
      </c>
      <c r="E50" s="526" t="str">
        <f t="shared" si="2"/>
        <v>g</v>
      </c>
      <c r="G50" s="525">
        <f t="shared" si="3"/>
        <v>48</v>
      </c>
      <c r="H50" s="206" t="str">
        <f t="shared" si="4"/>
        <v>3</v>
      </c>
      <c r="I50" s="206" t="str">
        <f t="shared" si="5"/>
        <v>3</v>
      </c>
      <c r="K50" s="525">
        <f t="shared" si="6"/>
        <v>48</v>
      </c>
      <c r="L50" s="176" t="str">
        <f t="shared" si="7"/>
        <v>3</v>
      </c>
      <c r="M50" s="176" t="str">
        <f t="shared" si="8"/>
        <v>˪</v>
      </c>
      <c r="O50" s="525">
        <f t="shared" si="9"/>
        <v>48</v>
      </c>
      <c r="P50" s="175" t="str">
        <f t="shared" si="10"/>
        <v>&lt;</v>
      </c>
      <c r="Q50" s="175" t="str">
        <f t="shared" si="11"/>
        <v>ㆻ</v>
      </c>
      <c r="S50" s="161">
        <v>48</v>
      </c>
      <c r="T50" s="294" t="str">
        <f t="shared" si="13"/>
        <v>g</v>
      </c>
      <c r="U50" s="294" cm="1">
        <f t="array" ref="U50" xml:space="preserve"> MATCH(TRUE, EXACT($L$3:$L$57, T50), 0)</f>
        <v>51</v>
      </c>
      <c r="V50" s="529" t="str" cm="1">
        <f t="array" ref="V50" xml:space="preserve"> INDEX($H$3:$H$57, U50)</f>
        <v>&lt;</v>
      </c>
      <c r="W50" s="512" cm="1">
        <f t="array" ref="W50" xml:space="preserve"> MATCH(TRUE, EXACT($I$3:$I$57, T50), 0)</f>
        <v>51</v>
      </c>
      <c r="X50" s="512" t="str" cm="1">
        <f t="array" ref="X50" xml:space="preserve"> INDEX($M$3:$M$57, 表格1_337412[[#This Row],[欄1]])</f>
        <v>ㆻ</v>
      </c>
      <c r="AB50">
        <f xml:space="preserve"> LEN(AB49) - 2</f>
        <v>55</v>
      </c>
    </row>
    <row r="51" spans="4:28">
      <c r="D51" s="525">
        <f t="shared" si="1"/>
        <v>49</v>
      </c>
      <c r="E51" s="526" t="str">
        <f t="shared" si="2"/>
        <v>z</v>
      </c>
      <c r="G51" s="525">
        <f t="shared" si="3"/>
        <v>49</v>
      </c>
      <c r="H51" s="206" t="str">
        <f t="shared" si="4"/>
        <v>9</v>
      </c>
      <c r="I51" s="206" t="str">
        <f t="shared" si="5"/>
        <v>b</v>
      </c>
      <c r="K51" s="525">
        <f t="shared" si="6"/>
        <v>49</v>
      </c>
      <c r="L51" s="176" t="str">
        <f t="shared" si="7"/>
        <v>b</v>
      </c>
      <c r="M51" s="176" t="str">
        <f t="shared" si="8"/>
        <v>ㆴ</v>
      </c>
      <c r="O51" s="525">
        <f t="shared" si="9"/>
        <v>49</v>
      </c>
      <c r="P51" s="175" t="str">
        <f t="shared" si="10"/>
        <v>4</v>
      </c>
      <c r="Q51" s="175" t="str">
        <f t="shared" si="11"/>
        <v>ㆷ</v>
      </c>
      <c r="S51" s="161">
        <v>49</v>
      </c>
      <c r="T51" s="294" t="str">
        <f t="shared" si="13"/>
        <v>z</v>
      </c>
      <c r="U51" s="294" cm="1">
        <f t="array" ref="U51" xml:space="preserve"> MATCH(TRUE, EXACT($L$3:$L$57, T51), 0)</f>
        <v>52</v>
      </c>
      <c r="V51" s="529" t="str" cm="1">
        <f t="array" ref="V51" xml:space="preserve"> INDEX($H$3:$H$57, U51)</f>
        <v>4</v>
      </c>
      <c r="W51" s="512" cm="1">
        <f t="array" ref="W51" xml:space="preserve"> MATCH(TRUE, EXACT($I$3:$I$57, T51), 0)</f>
        <v>52</v>
      </c>
      <c r="X51" s="512" t="str" cm="1">
        <f t="array" ref="X51" xml:space="preserve"> INDEX($M$3:$M$57, 表格1_337412[[#This Row],[欄1]])</f>
        <v>ㆷ</v>
      </c>
    </row>
    <row r="52" spans="4:28">
      <c r="D52" s="525">
        <f t="shared" si="1"/>
        <v>50</v>
      </c>
      <c r="E52" s="526" t="str">
        <f t="shared" si="2"/>
        <v xml:space="preserve"> </v>
      </c>
      <c r="G52" s="525">
        <f t="shared" si="3"/>
        <v>50</v>
      </c>
      <c r="H52" s="206" t="str">
        <f t="shared" si="4"/>
        <v>&gt;</v>
      </c>
      <c r="I52" s="206" t="str">
        <f t="shared" si="5"/>
        <v>t</v>
      </c>
      <c r="K52" s="525">
        <f t="shared" si="6"/>
        <v>50</v>
      </c>
      <c r="L52" s="176" t="str">
        <f t="shared" si="7"/>
        <v>t</v>
      </c>
      <c r="M52" s="176" t="str">
        <f t="shared" si="8"/>
        <v>ㆵ</v>
      </c>
      <c r="O52" s="525">
        <f t="shared" si="9"/>
        <v>50</v>
      </c>
      <c r="P52" s="175" t="str">
        <f t="shared" si="10"/>
        <v>1</v>
      </c>
      <c r="Q52" s="175" t="str">
        <f t="shared" si="11"/>
        <v xml:space="preserve"> </v>
      </c>
      <c r="S52" s="161">
        <v>50</v>
      </c>
      <c r="T52" s="294" t="str">
        <f t="shared" si="13"/>
        <v xml:space="preserve"> </v>
      </c>
      <c r="U52" s="294" cm="1">
        <f t="array" ref="U52" xml:space="preserve"> MATCH(TRUE, EXACT($L$3:$L$57, T52), 0)</f>
        <v>46</v>
      </c>
      <c r="V52" s="529" t="str" cm="1">
        <f t="array" ref="V52" xml:space="preserve"> INDEX($H$3:$H$57, U52)</f>
        <v>1</v>
      </c>
      <c r="W52" s="512" cm="1">
        <f t="array" ref="W52" xml:space="preserve"> MATCH(TRUE, EXACT($I$3:$I$57, T52), 0)</f>
        <v>46</v>
      </c>
      <c r="X52" s="512" t="str" cm="1">
        <f t="array" ref="X52" xml:space="preserve"> INDEX($M$3:$M$57, 表格1_337412[[#This Row],[欄1]])</f>
        <v xml:space="preserve"> </v>
      </c>
    </row>
    <row r="53" spans="4:28">
      <c r="D53" s="525">
        <f t="shared" si="1"/>
        <v>51</v>
      </c>
      <c r="E53" s="526" t="str">
        <f t="shared" si="2"/>
        <v>4</v>
      </c>
      <c r="G53" s="525">
        <f t="shared" si="3"/>
        <v>51</v>
      </c>
      <c r="H53" s="206" t="str">
        <f t="shared" si="4"/>
        <v>&lt;</v>
      </c>
      <c r="I53" s="206" t="str">
        <f t="shared" si="5"/>
        <v>g</v>
      </c>
      <c r="K53" s="525">
        <f t="shared" si="6"/>
        <v>51</v>
      </c>
      <c r="L53" s="176" t="str">
        <f t="shared" si="7"/>
        <v>g</v>
      </c>
      <c r="M53" s="176" t="str">
        <f t="shared" si="8"/>
        <v>ㆻ</v>
      </c>
      <c r="O53" s="525">
        <f t="shared" si="9"/>
        <v>51</v>
      </c>
      <c r="P53" s="175" t="str">
        <f t="shared" si="10"/>
        <v>2</v>
      </c>
      <c r="Q53" s="175" t="str">
        <f t="shared" si="11"/>
        <v>ˋ</v>
      </c>
      <c r="S53" s="161">
        <v>51</v>
      </c>
      <c r="T53" s="294" t="str">
        <f t="shared" si="13"/>
        <v>4</v>
      </c>
      <c r="U53" s="294" cm="1">
        <f t="array" ref="U53" xml:space="preserve"> MATCH(TRUE, EXACT($L$3:$L$57, T53), 0)</f>
        <v>47</v>
      </c>
      <c r="V53" s="529" t="str" cm="1">
        <f t="array" ref="V53" xml:space="preserve"> INDEX($H$3:$H$57, U53)</f>
        <v>2</v>
      </c>
      <c r="W53" s="512" cm="1">
        <f t="array" ref="W53" xml:space="preserve"> MATCH(TRUE, EXACT($I$3:$I$57, T53), 0)</f>
        <v>47</v>
      </c>
      <c r="X53" s="512" t="str" cm="1">
        <f t="array" ref="X53" xml:space="preserve"> INDEX($M$3:$M$57, 表格1_337412[[#This Row],[欄1]])</f>
        <v>ˋ</v>
      </c>
    </row>
    <row r="54" spans="4:28">
      <c r="D54" s="525">
        <f t="shared" si="1"/>
        <v>52</v>
      </c>
      <c r="E54" s="526" t="str">
        <f t="shared" si="2"/>
        <v>3</v>
      </c>
      <c r="G54" s="525">
        <f t="shared" si="3"/>
        <v>52</v>
      </c>
      <c r="H54" s="206" t="str">
        <f t="shared" si="4"/>
        <v>4</v>
      </c>
      <c r="I54" s="206" t="str">
        <f t="shared" si="5"/>
        <v>z</v>
      </c>
      <c r="K54" s="525">
        <f t="shared" si="6"/>
        <v>52</v>
      </c>
      <c r="L54" s="176" t="str">
        <f t="shared" si="7"/>
        <v>z</v>
      </c>
      <c r="M54" s="176" t="str">
        <f t="shared" si="8"/>
        <v>ㆷ</v>
      </c>
      <c r="O54" s="525">
        <f t="shared" si="9"/>
        <v>52</v>
      </c>
      <c r="P54" s="175" t="str">
        <f t="shared" si="10"/>
        <v>3</v>
      </c>
      <c r="Q54" s="175" t="str">
        <f t="shared" si="11"/>
        <v>˪</v>
      </c>
      <c r="S54" s="161">
        <v>52</v>
      </c>
      <c r="T54" s="294" t="str">
        <f t="shared" si="13"/>
        <v>3</v>
      </c>
      <c r="U54" s="294" cm="1">
        <f t="array" ref="U54" xml:space="preserve"> MATCH(TRUE, EXACT($L$3:$L$57, T54), 0)</f>
        <v>48</v>
      </c>
      <c r="V54" s="529" t="str" cm="1">
        <f t="array" ref="V54" xml:space="preserve"> INDEX($H$3:$H$57, U54)</f>
        <v>3</v>
      </c>
      <c r="W54" s="512" cm="1">
        <f t="array" ref="W54" xml:space="preserve"> MATCH(TRUE, EXACT($I$3:$I$57, T54), 0)</f>
        <v>48</v>
      </c>
      <c r="X54" s="512" t="str" cm="1">
        <f t="array" ref="X54" xml:space="preserve"> INDEX($M$3:$M$57, 表格1_337412[[#This Row],[欄1]])</f>
        <v>˪</v>
      </c>
    </row>
    <row r="55" spans="4:28">
      <c r="D55" s="525">
        <f t="shared" si="1"/>
        <v>53</v>
      </c>
      <c r="E55" s="526" t="str">
        <f t="shared" si="2"/>
        <v>6</v>
      </c>
      <c r="G55" s="525">
        <f t="shared" si="3"/>
        <v>53</v>
      </c>
      <c r="H55" s="206" t="str">
        <f t="shared" si="4"/>
        <v>5</v>
      </c>
      <c r="I55" s="206" t="str">
        <f t="shared" si="5"/>
        <v>6</v>
      </c>
      <c r="K55" s="525">
        <f t="shared" si="6"/>
        <v>53</v>
      </c>
      <c r="L55" s="176" t="str">
        <f t="shared" si="7"/>
        <v>6</v>
      </c>
      <c r="M55" s="176" t="str">
        <f t="shared" si="8"/>
        <v>ˊ</v>
      </c>
      <c r="O55" s="525">
        <f t="shared" si="9"/>
        <v>53</v>
      </c>
      <c r="P55" s="175" t="str">
        <f t="shared" si="10"/>
        <v>5</v>
      </c>
      <c r="Q55" s="175" t="str">
        <f t="shared" si="11"/>
        <v>ˊ</v>
      </c>
      <c r="S55" s="161">
        <v>53</v>
      </c>
      <c r="T55" s="294" t="str">
        <f t="shared" si="13"/>
        <v>6</v>
      </c>
      <c r="U55" s="294" cm="1">
        <f t="array" ref="U55" xml:space="preserve"> MATCH(TRUE, EXACT($L$3:$L$57, T55), 0)</f>
        <v>53</v>
      </c>
      <c r="V55" s="529" t="str" cm="1">
        <f t="array" ref="V55" xml:space="preserve"> INDEX($H$3:$H$57, U55)</f>
        <v>5</v>
      </c>
      <c r="W55" s="512" cm="1">
        <f t="array" ref="W55" xml:space="preserve"> MATCH(TRUE, EXACT($I$3:$I$57, T55), 0)</f>
        <v>53</v>
      </c>
      <c r="X55" s="512" t="str" cm="1">
        <f t="array" ref="X55" xml:space="preserve"> INDEX($M$3:$M$57, 表格1_337412[[#This Row],[欄1]])</f>
        <v>ˊ</v>
      </c>
    </row>
    <row r="56" spans="4:28">
      <c r="D56" s="525">
        <f t="shared" si="1"/>
        <v>54</v>
      </c>
      <c r="E56" s="526" t="str">
        <f t="shared" si="2"/>
        <v>5</v>
      </c>
      <c r="G56" s="525">
        <f t="shared" si="3"/>
        <v>54</v>
      </c>
      <c r="H56" s="206" t="str">
        <f t="shared" si="4"/>
        <v>7</v>
      </c>
      <c r="I56" s="206" t="str">
        <f t="shared" si="5"/>
        <v>5</v>
      </c>
      <c r="K56" s="525">
        <f t="shared" si="6"/>
        <v>54</v>
      </c>
      <c r="L56" s="176" t="str">
        <f t="shared" si="7"/>
        <v>5</v>
      </c>
      <c r="M56" s="176" t="str">
        <f t="shared" si="8"/>
        <v>˫</v>
      </c>
      <c r="O56" s="525">
        <f t="shared" si="9"/>
        <v>54</v>
      </c>
      <c r="P56" s="175" t="str">
        <f t="shared" si="10"/>
        <v>7</v>
      </c>
      <c r="Q56" s="175" t="str">
        <f t="shared" si="11"/>
        <v>˫</v>
      </c>
      <c r="S56" s="161">
        <v>54</v>
      </c>
      <c r="T56" s="294" t="str">
        <f t="shared" si="13"/>
        <v>5</v>
      </c>
      <c r="U56" s="294" cm="1">
        <f t="array" ref="U56" xml:space="preserve"> MATCH(TRUE, EXACT($L$3:$L$57, T56), 0)</f>
        <v>54</v>
      </c>
      <c r="V56" s="529" t="str" cm="1">
        <f t="array" ref="V56" xml:space="preserve"> INDEX($H$3:$H$57, U56)</f>
        <v>7</v>
      </c>
      <c r="W56" s="512" cm="1">
        <f t="array" ref="W56" xml:space="preserve"> MATCH(TRUE, EXACT($I$3:$I$57, T56), 0)</f>
        <v>54</v>
      </c>
      <c r="X56" s="512" t="str" cm="1">
        <f t="array" ref="X56" xml:space="preserve"> INDEX($M$3:$M$57, 表格1_337412[[#This Row],[欄1]])</f>
        <v>˫</v>
      </c>
    </row>
    <row r="57" spans="4:28">
      <c r="D57" s="525">
        <f t="shared" si="1"/>
        <v>55</v>
      </c>
      <c r="E57" s="526" t="str">
        <f t="shared" si="2"/>
        <v>7</v>
      </c>
      <c r="G57" s="525">
        <f t="shared" si="3"/>
        <v>55</v>
      </c>
      <c r="H57" s="206" t="str">
        <f t="shared" si="4"/>
        <v>0</v>
      </c>
      <c r="I57" s="206" t="str">
        <f t="shared" si="5"/>
        <v>7</v>
      </c>
      <c r="K57" s="525">
        <f t="shared" si="6"/>
        <v>55</v>
      </c>
      <c r="L57" s="176" t="str">
        <f t="shared" si="7"/>
        <v>7</v>
      </c>
      <c r="M57" s="176" t="str">
        <f t="shared" si="8"/>
        <v>˙</v>
      </c>
      <c r="O57" s="525">
        <f t="shared" si="9"/>
        <v>55</v>
      </c>
      <c r="P57" s="175" t="str">
        <f t="shared" si="10"/>
        <v>0</v>
      </c>
      <c r="Q57" s="175" t="str">
        <f t="shared" si="11"/>
        <v>˙</v>
      </c>
      <c r="S57" s="161">
        <v>55</v>
      </c>
      <c r="T57" s="294" t="str">
        <f t="shared" si="13"/>
        <v>7</v>
      </c>
      <c r="U57" s="294" cm="1">
        <f t="array" ref="U57" xml:space="preserve"> MATCH(TRUE, EXACT($L$3:$L$57, T57), 0)</f>
        <v>55</v>
      </c>
      <c r="V57" s="529" t="str" cm="1">
        <f t="array" ref="V57" xml:space="preserve"> INDEX($H$3:$H$57, U57)</f>
        <v>0</v>
      </c>
      <c r="W57" s="512" cm="1">
        <f t="array" ref="W57" xml:space="preserve"> MATCH(TRUE, EXACT($I$3:$I$57, T57), 0)</f>
        <v>55</v>
      </c>
      <c r="X57" s="512" t="str" cm="1">
        <f t="array" ref="X57" xml:space="preserve"> INDEX($M$3:$M$57, 表格1_337412[[#This Row],[欄1]])</f>
        <v>˙</v>
      </c>
    </row>
    <row r="58" spans="4:28">
      <c r="V58" s="529"/>
    </row>
    <row r="59" spans="4:28">
      <c r="D59" s="518" t="s">
        <v>673</v>
      </c>
      <c r="G59" s="518" t="s">
        <v>673</v>
      </c>
      <c r="H59" s="522" t="str">
        <f xml:space="preserve"> _xlfn.CONCAT(鍵盤位置)</f>
        <v>1!qa2wsxeEdDcrRfvyYhn8*iIkoO9(lL,&lt;m0p;:/-uUjJbtgz 43657</v>
      </c>
      <c r="I59" s="519"/>
      <c r="J59" s="520"/>
      <c r="K59" s="520"/>
      <c r="L59" s="521"/>
      <c r="M59" s="519"/>
      <c r="N59" s="520"/>
      <c r="O59" s="520"/>
      <c r="P59" s="520"/>
      <c r="Q59" s="228"/>
      <c r="R59" s="520"/>
      <c r="V59" s="529"/>
    </row>
    <row r="60" spans="4:28">
      <c r="V60" s="529"/>
    </row>
    <row r="61" spans="4:28">
      <c r="V61" s="529"/>
    </row>
    <row r="62" spans="4:28">
      <c r="V62" s="529"/>
    </row>
    <row r="63" spans="4:28">
      <c r="V63" s="529"/>
    </row>
    <row r="64" spans="4:28">
      <c r="V64" s="529"/>
    </row>
    <row r="65" spans="22:22">
      <c r="V65" s="529"/>
    </row>
    <row r="66" spans="22:22">
      <c r="V66" s="529"/>
    </row>
    <row r="67" spans="22:22">
      <c r="V67" s="529"/>
    </row>
    <row r="68" spans="22:22">
      <c r="V68" s="529"/>
    </row>
    <row r="69" spans="22:22">
      <c r="V69" s="529"/>
    </row>
    <row r="70" spans="22:22">
      <c r="V70" s="529"/>
    </row>
    <row r="72" spans="22:22">
      <c r="V72" s="294" t="str">
        <f xml:space="preserve"> _xlfn.CONCAT(按鍵編碼)</f>
        <v>pbPmtTnlkgKGhZJCSzjcsaAOQoeEyYxX{}M@N[]RriIuU9&gt;&lt;4123570</v>
      </c>
    </row>
    <row r="73" spans="22:22">
      <c r="V73" s="294" t="e">
        <f xml:space="preserve"> _xlfn.CONCAT(方音符號)</f>
        <v>#REF!</v>
      </c>
    </row>
    <row r="74" spans="22:22">
      <c r="V74" s="530" t="e">
        <f xml:space="preserve"> "xlit|" &amp; V72 &amp; "|" &amp; V73 &amp; "|"</f>
        <v>#REF!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1469-B1DB-4C13-B027-9BA9DDD79C37}">
  <sheetPr>
    <tabColor rgb="FFFFC000"/>
  </sheetPr>
  <dimension ref="A1:CG63"/>
  <sheetViews>
    <sheetView tabSelected="1" zoomScale="70" zoomScaleNormal="70" workbookViewId="0">
      <selection activeCell="AJ17" sqref="AJ17"/>
    </sheetView>
  </sheetViews>
  <sheetFormatPr defaultColWidth="7.19921875" defaultRowHeight="25.5" outlineLevelCol="1"/>
  <cols>
    <col min="1" max="1" width="2.19921875" style="404" customWidth="1"/>
    <col min="2" max="59" width="5.796875" style="404" customWidth="1"/>
    <col min="60" max="61" width="7.19921875" style="404"/>
    <col min="62" max="65" width="11.296875" style="404" customWidth="1"/>
    <col min="66" max="66" width="7.19921875" style="404"/>
    <col min="67" max="67" width="27.296875" style="405" customWidth="1"/>
    <col min="68" max="68" width="7.19921875" style="404"/>
    <col min="69" max="69" width="3.8984375" style="404" customWidth="1"/>
    <col min="70" max="70" width="7.19921875" style="404"/>
    <col min="71" max="71" width="0" style="404" hidden="1" customWidth="1" outlineLevel="1"/>
    <col min="72" max="72" width="7.19921875" style="404" collapsed="1"/>
    <col min="73" max="73" width="0" style="404" hidden="1" customWidth="1" outlineLevel="1"/>
    <col min="74" max="74" width="7.19921875" style="404" collapsed="1"/>
    <col min="75" max="82" width="7.19921875" style="404"/>
    <col min="83" max="85" width="11.296875" style="404" customWidth="1"/>
    <col min="86" max="16384" width="7.19921875" style="404"/>
  </cols>
  <sheetData>
    <row r="1" spans="1:85" ht="17.100000000000001" customHeight="1" thickBot="1">
      <c r="A1" s="510"/>
      <c r="B1" s="510"/>
      <c r="C1" s="510"/>
      <c r="D1" s="510"/>
      <c r="E1" s="510"/>
      <c r="F1" s="510"/>
      <c r="G1" s="510"/>
      <c r="H1" s="510"/>
      <c r="I1" s="510"/>
      <c r="J1" s="510"/>
      <c r="K1" s="510"/>
      <c r="L1" s="510"/>
      <c r="M1" s="510"/>
      <c r="N1" s="510"/>
      <c r="O1" s="510"/>
      <c r="P1" s="510"/>
      <c r="Q1" s="510"/>
      <c r="R1" s="510"/>
      <c r="S1" s="510"/>
      <c r="T1" s="510"/>
      <c r="U1" s="510"/>
      <c r="V1" s="510"/>
      <c r="W1" s="510"/>
      <c r="X1" s="510"/>
      <c r="Y1" s="510"/>
      <c r="Z1" s="510"/>
      <c r="AA1" s="510"/>
      <c r="AB1" s="510"/>
      <c r="AC1" s="510"/>
      <c r="AD1" s="510"/>
      <c r="AE1" s="510"/>
      <c r="AF1" s="510"/>
      <c r="AG1" s="510"/>
      <c r="AH1" s="510"/>
      <c r="AI1" s="510"/>
      <c r="AJ1" s="510"/>
      <c r="AK1" s="510"/>
      <c r="AL1" s="510"/>
      <c r="AM1" s="510"/>
      <c r="AN1" s="510"/>
      <c r="AO1" s="510"/>
      <c r="AP1" s="510"/>
      <c r="AQ1" s="510"/>
      <c r="AR1" s="435"/>
      <c r="AS1" s="435"/>
      <c r="AT1" s="510"/>
      <c r="AU1" s="510"/>
      <c r="AV1" s="510"/>
    </row>
    <row r="2" spans="1:85" s="465" customFormat="1" ht="31.5" customHeight="1">
      <c r="A2" s="476"/>
      <c r="B2" s="560" t="s">
        <v>901</v>
      </c>
      <c r="C2" s="561"/>
      <c r="D2" s="562"/>
      <c r="E2" s="560" t="s">
        <v>0</v>
      </c>
      <c r="F2" s="561"/>
      <c r="G2" s="562"/>
      <c r="H2" s="575" t="s">
        <v>1</v>
      </c>
      <c r="I2" s="576"/>
      <c r="J2" s="577"/>
      <c r="K2" s="575" t="s">
        <v>2</v>
      </c>
      <c r="L2" s="576"/>
      <c r="M2" s="577"/>
      <c r="N2" s="578">
        <v>0.05</v>
      </c>
      <c r="O2" s="579"/>
      <c r="P2" s="580"/>
      <c r="Q2" s="575" t="s">
        <v>3</v>
      </c>
      <c r="R2" s="576"/>
      <c r="S2" s="577"/>
      <c r="T2" s="575" t="s">
        <v>4</v>
      </c>
      <c r="U2" s="576"/>
      <c r="V2" s="577"/>
      <c r="W2" s="568" t="s">
        <v>900</v>
      </c>
      <c r="X2" s="569"/>
      <c r="Y2" s="570"/>
      <c r="Z2" s="568" t="s">
        <v>899</v>
      </c>
      <c r="AA2" s="569"/>
      <c r="AB2" s="570"/>
      <c r="AC2" s="568" t="s">
        <v>5</v>
      </c>
      <c r="AD2" s="569"/>
      <c r="AE2" s="570"/>
      <c r="AF2" s="563" t="s">
        <v>6</v>
      </c>
      <c r="AG2" s="564"/>
      <c r="AH2" s="565"/>
      <c r="AI2" s="563" t="s">
        <v>7</v>
      </c>
      <c r="AJ2" s="564"/>
      <c r="AK2" s="565"/>
      <c r="AL2" s="476"/>
      <c r="AM2" s="476"/>
      <c r="AN2" s="476"/>
      <c r="AO2" s="476"/>
      <c r="AP2" s="476"/>
      <c r="AQ2" s="476"/>
      <c r="AR2" s="477"/>
      <c r="AS2" s="477"/>
      <c r="AT2" s="476"/>
      <c r="AU2" s="476"/>
      <c r="AV2" s="476"/>
      <c r="BI2" s="404"/>
      <c r="BJ2" s="404"/>
      <c r="BK2" s="404"/>
      <c r="BL2" s="404"/>
      <c r="BM2" s="404"/>
      <c r="BO2" s="405"/>
      <c r="BQ2" s="220" t="s">
        <v>923</v>
      </c>
      <c r="BR2" s="294"/>
      <c r="BS2" s="294"/>
      <c r="BT2" s="294"/>
      <c r="BU2" s="294"/>
      <c r="BV2" s="294"/>
      <c r="CD2" s="404"/>
      <c r="CE2" s="404"/>
      <c r="CF2" s="404"/>
      <c r="CG2" s="404"/>
    </row>
    <row r="3" spans="1:85" s="465" customFormat="1" ht="31.5" customHeight="1" thickBot="1">
      <c r="A3" s="476"/>
      <c r="B3" s="489" t="str">
        <f ca="1">E42</f>
        <v>ㆠ</v>
      </c>
      <c r="C3" s="486"/>
      <c r="D3" s="485" t="s">
        <v>561</v>
      </c>
      <c r="E3" s="487"/>
      <c r="F3" s="486"/>
      <c r="G3" s="485"/>
      <c r="H3" s="503"/>
      <c r="I3" s="502"/>
      <c r="J3" s="501"/>
      <c r="K3" s="503"/>
      <c r="L3" s="502"/>
      <c r="M3" s="501"/>
      <c r="N3" s="506"/>
      <c r="O3" s="505"/>
      <c r="P3" s="504"/>
      <c r="Q3" s="503"/>
      <c r="R3" s="502"/>
      <c r="S3" s="501"/>
      <c r="T3" s="503"/>
      <c r="U3" s="502"/>
      <c r="V3" s="501"/>
      <c r="W3" s="484" t="str">
        <f ca="1">Z42</f>
        <v>ㆩ</v>
      </c>
      <c r="X3" s="482"/>
      <c r="Y3" s="516" t="str">
        <f ca="1">Z44</f>
        <v>aN</v>
      </c>
      <c r="Z3" s="484" t="str">
        <f ca="1">AG42</f>
        <v>ㆮ</v>
      </c>
      <c r="AA3" s="482"/>
      <c r="AB3" s="516" t="str">
        <f ca="1">AG44</f>
        <v>aiN</v>
      </c>
      <c r="AC3" s="483"/>
      <c r="AD3" s="482"/>
      <c r="AE3" s="481"/>
      <c r="AF3" s="494"/>
      <c r="AG3" s="479"/>
      <c r="AH3" s="478"/>
      <c r="AI3" s="494"/>
      <c r="AJ3" s="479"/>
      <c r="AK3" s="478"/>
      <c r="AL3" s="476"/>
      <c r="AM3" s="476"/>
      <c r="AN3" s="476"/>
      <c r="AO3" s="476"/>
      <c r="AP3" s="476"/>
      <c r="AQ3" s="476"/>
      <c r="AR3" s="477"/>
      <c r="AS3" s="477"/>
      <c r="AT3" s="476"/>
      <c r="AU3" s="476"/>
      <c r="AV3" s="476"/>
      <c r="BI3" s="509" t="s">
        <v>103</v>
      </c>
      <c r="BJ3" s="508" t="s">
        <v>104</v>
      </c>
      <c r="BK3" s="523" t="s">
        <v>844</v>
      </c>
      <c r="BL3" s="524" t="s">
        <v>873</v>
      </c>
      <c r="BM3" s="507" t="s">
        <v>167</v>
      </c>
      <c r="BO3" s="405"/>
      <c r="BQ3" s="161"/>
      <c r="BR3" s="535" t="s">
        <v>167</v>
      </c>
      <c r="BS3" s="535" t="s">
        <v>920</v>
      </c>
      <c r="BT3" s="535" t="s">
        <v>921</v>
      </c>
      <c r="BU3" s="535" t="s">
        <v>922</v>
      </c>
      <c r="BV3" s="535" t="s">
        <v>528</v>
      </c>
      <c r="BY3" s="221" t="s">
        <v>292</v>
      </c>
      <c r="BZ3" s="221" t="s">
        <v>290</v>
      </c>
      <c r="CA3" s="222" t="s">
        <v>279</v>
      </c>
      <c r="CD3" s="509" t="s">
        <v>103</v>
      </c>
      <c r="CE3" s="508" t="s">
        <v>104</v>
      </c>
      <c r="CF3" s="523" t="s">
        <v>844</v>
      </c>
      <c r="CG3" s="524" t="s">
        <v>873</v>
      </c>
    </row>
    <row r="4" spans="1:85" ht="31.5" customHeight="1" thickTop="1" thickBot="1">
      <c r="A4" s="434"/>
      <c r="B4" s="474" t="str">
        <f ca="1">D42</f>
        <v>ㄅ</v>
      </c>
      <c r="C4" s="473"/>
      <c r="D4" s="500" t="s">
        <v>191</v>
      </c>
      <c r="E4" s="474" t="str">
        <f ca="1">H42</f>
        <v>ㄉ</v>
      </c>
      <c r="F4" s="473"/>
      <c r="G4" s="472" t="s">
        <v>11</v>
      </c>
      <c r="H4" s="571" t="s">
        <v>12</v>
      </c>
      <c r="I4" s="572"/>
      <c r="J4" s="499" t="s">
        <v>13</v>
      </c>
      <c r="K4" s="573" t="s">
        <v>14</v>
      </c>
      <c r="L4" s="574"/>
      <c r="M4" s="499" t="s">
        <v>15</v>
      </c>
      <c r="N4" s="571" t="s">
        <v>16</v>
      </c>
      <c r="O4" s="572"/>
      <c r="P4" s="499" t="s">
        <v>17</v>
      </c>
      <c r="Q4" s="573" t="s">
        <v>18</v>
      </c>
      <c r="R4" s="574"/>
      <c r="S4" s="499" t="s">
        <v>19</v>
      </c>
      <c r="T4" s="571" t="s">
        <v>896</v>
      </c>
      <c r="U4" s="572"/>
      <c r="V4" s="499" t="s">
        <v>895</v>
      </c>
      <c r="W4" s="468" t="str">
        <f ca="1">Y42</f>
        <v>ㄚ</v>
      </c>
      <c r="X4" s="467"/>
      <c r="Y4" s="540" t="str">
        <f ca="1">Y44</f>
        <v>a</v>
      </c>
      <c r="Z4" s="468" t="str">
        <f ca="1">AF42</f>
        <v>ㄞ</v>
      </c>
      <c r="AA4" s="467"/>
      <c r="AB4" s="540" t="str">
        <f ca="1">AF44</f>
        <v>ai</v>
      </c>
      <c r="AC4" s="468" t="str">
        <f ca="1">AM42</f>
        <v>ㄢ</v>
      </c>
      <c r="AD4" s="491"/>
      <c r="AE4" s="496" t="str">
        <f ca="1">AM44</f>
        <v>an</v>
      </c>
      <c r="AF4" s="497"/>
      <c r="AG4" s="491"/>
      <c r="AH4" s="469"/>
      <c r="AI4" s="566"/>
      <c r="AJ4" s="567"/>
      <c r="AK4" s="490"/>
      <c r="AL4" s="434"/>
      <c r="AM4" s="434"/>
      <c r="AN4" s="434"/>
      <c r="AO4" s="434"/>
      <c r="AP4" s="434"/>
      <c r="AQ4" s="434"/>
      <c r="AR4" s="435"/>
      <c r="AS4" s="435"/>
      <c r="AT4" s="434"/>
      <c r="AU4" s="434"/>
      <c r="AV4" s="434"/>
      <c r="BI4" s="411">
        <v>1</v>
      </c>
      <c r="BJ4" s="543" t="str" cm="1">
        <f t="array" aca="1" ref="BJ4" ca="1" xml:space="preserve"> INDIRECT( ADDRESS( ROW($C$17), COLUMN($C$17) +$BI4) )</f>
        <v>ㄅ</v>
      </c>
      <c r="BK4" s="409" t="str" cm="1">
        <f t="array" aca="1" ref="BK4" ca="1" xml:space="preserve"> INDIRECT( ADDRESS( ROW($C$19), COLUMN($C$19) +$BI4) )</f>
        <v>p</v>
      </c>
      <c r="BL4" s="408" t="str" cm="1">
        <f t="array" aca="1" ref="BL4" ca="1" xml:space="preserve"> INDIRECT( ADDRESS( ROW($C$18), COLUMN($C$18) +$BI4) )</f>
        <v>p</v>
      </c>
      <c r="BM4" s="407" t="str" cm="1">
        <f t="array" aca="1" ref="BM4" ca="1" xml:space="preserve"> INDIRECT( ADDRESS( ROW($C$16), COLUMN($C$16) +$BI4) )</f>
        <v>1</v>
      </c>
      <c r="BO4" s="517" t="str">
        <f ca="1" xml:space="preserve"> """" &amp; BM4 &amp; """: { commit: """ &amp; BJ4 &amp; """ }"</f>
        <v>"1": { commit: "ㄅ" }</v>
      </c>
      <c r="BQ4" s="161">
        <v>1</v>
      </c>
      <c r="BR4" s="294" t="s">
        <v>168</v>
      </c>
      <c r="BS4" s="294">
        <v>1</v>
      </c>
      <c r="BT4" s="529" t="s">
        <v>9</v>
      </c>
      <c r="BU4" s="512">
        <v>1</v>
      </c>
      <c r="BV4" s="512" t="s">
        <v>8</v>
      </c>
      <c r="BX4" s="536">
        <f xml:space="preserve"> ROW() - 3</f>
        <v>1</v>
      </c>
      <c r="BY4" s="537" t="s">
        <v>8</v>
      </c>
      <c r="BZ4" s="224" t="s">
        <v>9</v>
      </c>
      <c r="CA4" s="225" t="s">
        <v>310</v>
      </c>
      <c r="CD4" s="411">
        <f xml:space="preserve"> ROW() - 3</f>
        <v>1</v>
      </c>
      <c r="CE4" s="543" t="s">
        <v>8</v>
      </c>
      <c r="CF4" s="409" t="s">
        <v>9</v>
      </c>
      <c r="CG4" s="408" t="s">
        <v>9</v>
      </c>
    </row>
    <row r="5" spans="1:85" s="465" customFormat="1" ht="31.5" customHeight="1">
      <c r="A5" s="476"/>
      <c r="B5" s="476"/>
      <c r="C5" s="560" t="s">
        <v>24</v>
      </c>
      <c r="D5" s="561"/>
      <c r="E5" s="562"/>
      <c r="F5" s="560" t="s">
        <v>25</v>
      </c>
      <c r="G5" s="561"/>
      <c r="H5" s="562"/>
      <c r="I5" s="560" t="s">
        <v>26</v>
      </c>
      <c r="J5" s="561"/>
      <c r="K5" s="562"/>
      <c r="L5" s="560" t="s">
        <v>27</v>
      </c>
      <c r="M5" s="561"/>
      <c r="N5" s="562"/>
      <c r="O5" s="560" t="s">
        <v>28</v>
      </c>
      <c r="P5" s="561"/>
      <c r="Q5" s="562"/>
      <c r="R5" s="560" t="s">
        <v>29</v>
      </c>
      <c r="S5" s="561"/>
      <c r="T5" s="562"/>
      <c r="U5" s="568" t="s">
        <v>30</v>
      </c>
      <c r="V5" s="569"/>
      <c r="W5" s="570"/>
      <c r="X5" s="568" t="s">
        <v>31</v>
      </c>
      <c r="Y5" s="569"/>
      <c r="Z5" s="570"/>
      <c r="AA5" s="568" t="s">
        <v>32</v>
      </c>
      <c r="AB5" s="569"/>
      <c r="AC5" s="570"/>
      <c r="AD5" s="568" t="s">
        <v>33</v>
      </c>
      <c r="AE5" s="569"/>
      <c r="AF5" s="570"/>
      <c r="AG5" s="568" t="s">
        <v>34</v>
      </c>
      <c r="AH5" s="569"/>
      <c r="AI5" s="570"/>
      <c r="AJ5" s="568" t="s">
        <v>35</v>
      </c>
      <c r="AK5" s="569"/>
      <c r="AL5" s="570"/>
      <c r="AM5" s="563" t="s">
        <v>36</v>
      </c>
      <c r="AN5" s="564"/>
      <c r="AO5" s="565"/>
      <c r="AP5" s="476"/>
      <c r="AQ5" s="476"/>
      <c r="AR5" s="477"/>
      <c r="AS5" s="477"/>
      <c r="AT5" s="476"/>
      <c r="AU5" s="476"/>
      <c r="AV5" s="476"/>
      <c r="BI5" s="411">
        <v>2</v>
      </c>
      <c r="BJ5" s="543" t="str" cm="1">
        <f t="array" aca="1" ref="BJ5" ca="1" xml:space="preserve"> INDIRECT( ADDRESS( ROW($C$17), COLUMN($C$17) +$BI5) )</f>
        <v>ㆠ</v>
      </c>
      <c r="BK5" s="409" t="str" cm="1">
        <f t="array" aca="1" ref="BK5" ca="1" xml:space="preserve"> INDIRECT( ADDRESS( ROW($C$19), COLUMN($C$19) +$BI5) )</f>
        <v>b</v>
      </c>
      <c r="BL5" s="408" t="str" cm="1">
        <f t="array" aca="1" ref="BL5" ca="1" xml:space="preserve"> INDIRECT( ADDRESS( ROW($C$18), COLUMN($C$18) +$BI5) )</f>
        <v>b</v>
      </c>
      <c r="BM5" s="407" t="str" cm="1">
        <f t="array" aca="1" ref="BM5" ca="1" xml:space="preserve"> INDIRECT( ADDRESS( ROW($C$16), COLUMN($C$16) +$BI5) )</f>
        <v>!</v>
      </c>
      <c r="BO5" s="517" t="str">
        <f t="shared" ref="BO5:BO54" ca="1" si="0" xml:space="preserve"> """" &amp; BM5 &amp; """: { commit: """ &amp; BJ5 &amp; """ }"</f>
        <v>"!": { commit: "ㆠ" }</v>
      </c>
      <c r="BQ5" s="161">
        <v>2</v>
      </c>
      <c r="BR5" s="294" t="s">
        <v>805</v>
      </c>
      <c r="BS5" s="294">
        <v>2</v>
      </c>
      <c r="BT5" s="529" t="s">
        <v>91</v>
      </c>
      <c r="BU5" s="512">
        <v>2</v>
      </c>
      <c r="BV5" s="512" t="s">
        <v>90</v>
      </c>
      <c r="BX5" s="536">
        <f t="shared" ref="BX5:BX45" si="1" xml:space="preserve"> ROW() - 3</f>
        <v>2</v>
      </c>
      <c r="BY5" s="537" t="s">
        <v>90</v>
      </c>
      <c r="BZ5" s="224" t="s">
        <v>38</v>
      </c>
      <c r="CA5" s="225" t="s">
        <v>309</v>
      </c>
      <c r="CD5" s="411">
        <f t="shared" ref="CD5:CD52" si="2" xml:space="preserve"> ROW() - 3</f>
        <v>2</v>
      </c>
      <c r="CE5" s="543" t="s">
        <v>90</v>
      </c>
      <c r="CF5" s="409" t="s">
        <v>91</v>
      </c>
      <c r="CG5" s="408" t="s">
        <v>91</v>
      </c>
    </row>
    <row r="6" spans="1:85" s="465" customFormat="1" ht="31.5" customHeight="1">
      <c r="A6" s="476"/>
      <c r="B6" s="476"/>
      <c r="C6" s="487"/>
      <c r="D6" s="486"/>
      <c r="E6" s="485"/>
      <c r="F6" s="487"/>
      <c r="G6" s="486"/>
      <c r="H6" s="485"/>
      <c r="I6" s="489" t="str">
        <f ca="1">M42</f>
        <v>ㆣ</v>
      </c>
      <c r="J6" s="486"/>
      <c r="K6" s="485" t="s">
        <v>559</v>
      </c>
      <c r="L6" s="489" t="str">
        <f ca="1">R42</f>
        <v>ㆢ</v>
      </c>
      <c r="M6" s="486"/>
      <c r="N6" s="488" t="str">
        <f ca="1">R44</f>
        <v>ji</v>
      </c>
      <c r="O6" s="487"/>
      <c r="P6" s="486"/>
      <c r="Q6" s="485"/>
      <c r="R6" s="489" t="str">
        <f ca="1">V42</f>
        <v>ㆡ</v>
      </c>
      <c r="S6" s="486"/>
      <c r="T6" s="488" t="str">
        <f ca="1">V44</f>
        <v>j</v>
      </c>
      <c r="U6" s="484" t="str">
        <f ca="1">AT42</f>
        <v>ㆪ</v>
      </c>
      <c r="V6" s="482"/>
      <c r="W6" s="516" t="str">
        <f ca="1">AT44</f>
        <v>iN</v>
      </c>
      <c r="X6" s="484" t="str">
        <f ca="1">AB42</f>
        <v>ㆧ</v>
      </c>
      <c r="Y6" s="482"/>
      <c r="Z6" s="516" t="str">
        <f ca="1">AB44</f>
        <v>ooN</v>
      </c>
      <c r="AA6" s="484"/>
      <c r="AB6" s="482"/>
      <c r="AC6" s="481"/>
      <c r="AD6" s="483"/>
      <c r="AE6" s="482"/>
      <c r="AF6" s="481"/>
      <c r="AG6" s="483"/>
      <c r="AH6" s="482"/>
      <c r="AI6" s="481"/>
      <c r="AJ6" s="483"/>
      <c r="AK6" s="482"/>
      <c r="AL6" s="481"/>
      <c r="AM6" s="494"/>
      <c r="AN6" s="479"/>
      <c r="AO6" s="478"/>
      <c r="AP6" s="476"/>
      <c r="AQ6" s="476"/>
      <c r="AR6" s="477"/>
      <c r="AS6" s="477"/>
      <c r="AT6" s="476"/>
      <c r="AU6" s="476"/>
      <c r="AV6" s="476"/>
      <c r="BI6" s="411">
        <v>3</v>
      </c>
      <c r="BJ6" s="543" t="str" cm="1">
        <f t="array" aca="1" ref="BJ6" ca="1" xml:space="preserve"> INDIRECT( ADDRESS( ROW($C$17), COLUMN($C$17) +$BI6) )</f>
        <v>ㄆ</v>
      </c>
      <c r="BK6" s="409" t="str" cm="1">
        <f t="array" aca="1" ref="BK6" ca="1" xml:space="preserve"> INDIRECT( ADDRESS( ROW($C$19), COLUMN($C$19) +$BI6) )</f>
        <v>ph</v>
      </c>
      <c r="BL6" s="408" t="str" cm="1">
        <f t="array" aca="1" ref="BL6" ca="1" xml:space="preserve"> INDIRECT( ADDRESS( ROW($C$18), COLUMN($C$18) +$BI6) )</f>
        <v>P</v>
      </c>
      <c r="BM6" s="407" t="str" cm="1">
        <f t="array" aca="1" ref="BM6" ca="1" xml:space="preserve"> INDIRECT( ADDRESS( ROW($C$16), COLUMN($C$16) +$BI6) )</f>
        <v>q</v>
      </c>
      <c r="BO6" s="517" t="str">
        <f t="shared" ca="1" si="0"/>
        <v>"q": { commit: "ㄆ" }</v>
      </c>
      <c r="BQ6" s="161">
        <v>3</v>
      </c>
      <c r="BR6" s="294" t="s">
        <v>164</v>
      </c>
      <c r="BS6" s="294">
        <v>3</v>
      </c>
      <c r="BT6" s="529" t="s">
        <v>33</v>
      </c>
      <c r="BU6" s="512">
        <v>3</v>
      </c>
      <c r="BV6" s="512" t="s">
        <v>37</v>
      </c>
      <c r="BX6" s="536">
        <f t="shared" si="1"/>
        <v>3</v>
      </c>
      <c r="BY6" s="537" t="s">
        <v>37</v>
      </c>
      <c r="BZ6" s="224" t="s">
        <v>66</v>
      </c>
      <c r="CA6" s="225" t="s">
        <v>307</v>
      </c>
      <c r="CD6" s="411">
        <f t="shared" si="2"/>
        <v>3</v>
      </c>
      <c r="CE6" s="543" t="s">
        <v>37</v>
      </c>
      <c r="CF6" s="409" t="s">
        <v>38</v>
      </c>
      <c r="CG6" s="408" t="s">
        <v>33</v>
      </c>
    </row>
    <row r="7" spans="1:85" ht="31.5" customHeight="1" thickBot="1">
      <c r="A7" s="434"/>
      <c r="B7" s="434"/>
      <c r="C7" s="474" t="str">
        <f ca="1">F42</f>
        <v>ㄆ</v>
      </c>
      <c r="D7" s="473"/>
      <c r="E7" s="472" t="s">
        <v>38</v>
      </c>
      <c r="F7" s="474" t="str">
        <f ca="1">I42</f>
        <v>ㄊ</v>
      </c>
      <c r="G7" s="473"/>
      <c r="H7" s="472" t="s">
        <v>40</v>
      </c>
      <c r="I7" s="474" t="str">
        <f ca="1">L42</f>
        <v>ㄍ</v>
      </c>
      <c r="J7" s="473"/>
      <c r="K7" s="498" t="s">
        <v>573</v>
      </c>
      <c r="L7" s="474" t="str">
        <f ca="1">Q42</f>
        <v>ㄐ</v>
      </c>
      <c r="M7" s="473"/>
      <c r="N7" s="538" t="str">
        <f ca="1">Q44</f>
        <v>ci</v>
      </c>
      <c r="O7" s="474"/>
      <c r="P7" s="473"/>
      <c r="Q7" s="472"/>
      <c r="R7" s="474" t="str">
        <f ca="1">U42</f>
        <v>ㄗ</v>
      </c>
      <c r="S7" s="473"/>
      <c r="T7" s="538" t="str">
        <f ca="1">U44</f>
        <v>c</v>
      </c>
      <c r="U7" s="468" t="str">
        <f ca="1">AS42</f>
        <v>ㄧ</v>
      </c>
      <c r="V7" s="467"/>
      <c r="W7" s="540" t="str">
        <f ca="1">AS44</f>
        <v>i</v>
      </c>
      <c r="X7" s="468" t="str">
        <f ca="1">AA42</f>
        <v>ㆦ</v>
      </c>
      <c r="Y7" s="467"/>
      <c r="Z7" s="496" t="str">
        <f ca="1">AA44</f>
        <v>oo</v>
      </c>
      <c r="AA7" s="468"/>
      <c r="AB7" s="467"/>
      <c r="AC7" s="471"/>
      <c r="AD7" s="468" t="str">
        <f ca="1">AN42</f>
        <v>ㄣ</v>
      </c>
      <c r="AE7" s="491"/>
      <c r="AF7" s="496" t="str">
        <f ca="1">AN44</f>
        <v>-n</v>
      </c>
      <c r="AG7" s="566"/>
      <c r="AH7" s="567"/>
      <c r="AI7" s="490"/>
      <c r="AJ7" s="566"/>
      <c r="AK7" s="567"/>
      <c r="AL7" s="490"/>
      <c r="AM7" s="566"/>
      <c r="AN7" s="567"/>
      <c r="AO7" s="490"/>
      <c r="AP7" s="434"/>
      <c r="AQ7" s="434"/>
      <c r="AR7" s="435"/>
      <c r="AS7" s="435"/>
      <c r="AT7" s="434"/>
      <c r="AU7" s="434"/>
      <c r="AV7" s="434"/>
      <c r="BI7" s="411">
        <v>4</v>
      </c>
      <c r="BJ7" s="543" t="str" cm="1">
        <f t="array" aca="1" ref="BJ7" ca="1" xml:space="preserve"> INDIRECT( ADDRESS( ROW($C$17), COLUMN($C$17) +$BI7) )</f>
        <v>ㄇ</v>
      </c>
      <c r="BK7" s="409" t="str" cm="1">
        <f t="array" aca="1" ref="BK7" ca="1" xml:space="preserve"> INDIRECT( ADDRESS( ROW($C$19), COLUMN($C$19) +$BI7) )</f>
        <v>m</v>
      </c>
      <c r="BL7" s="408" t="str" cm="1">
        <f t="array" aca="1" ref="BL7" ca="1" xml:space="preserve"> INDIRECT( ADDRESS( ROW($C$18), COLUMN($C$18) +$BI7) )</f>
        <v>m</v>
      </c>
      <c r="BM7" s="407" t="str" cm="1">
        <f t="array" aca="1" ref="BM7" ca="1" xml:space="preserve"> INDIRECT( ADDRESS( ROW($C$16), COLUMN($C$16) +$BI7) )</f>
        <v>a</v>
      </c>
      <c r="BO7" s="517" t="str">
        <f t="shared" ca="1" si="0"/>
        <v>"a": { commit: "ㄇ" }</v>
      </c>
      <c r="BQ7" s="161">
        <v>4</v>
      </c>
      <c r="BR7" s="294" t="s">
        <v>21</v>
      </c>
      <c r="BS7" s="294">
        <v>4</v>
      </c>
      <c r="BT7" s="529" t="s">
        <v>66</v>
      </c>
      <c r="BU7" s="512">
        <v>4</v>
      </c>
      <c r="BV7" s="512" t="s">
        <v>55</v>
      </c>
      <c r="BX7" s="536">
        <f t="shared" si="1"/>
        <v>4</v>
      </c>
      <c r="BY7" s="537" t="s">
        <v>55</v>
      </c>
      <c r="BZ7" s="224" t="s">
        <v>91</v>
      </c>
      <c r="CA7" s="225" t="s">
        <v>308</v>
      </c>
      <c r="CD7" s="411">
        <f t="shared" si="2"/>
        <v>4</v>
      </c>
      <c r="CE7" s="543" t="s">
        <v>55</v>
      </c>
      <c r="CF7" s="409" t="s">
        <v>66</v>
      </c>
      <c r="CG7" s="408" t="s">
        <v>66</v>
      </c>
    </row>
    <row r="8" spans="1:85" s="465" customFormat="1" ht="31.5" customHeight="1">
      <c r="A8" s="476"/>
      <c r="B8" s="476"/>
      <c r="C8" s="495"/>
      <c r="D8" s="560" t="s">
        <v>210</v>
      </c>
      <c r="E8" s="561"/>
      <c r="F8" s="562"/>
      <c r="G8" s="560" t="s">
        <v>56</v>
      </c>
      <c r="H8" s="561"/>
      <c r="I8" s="562"/>
      <c r="J8" s="560" t="s">
        <v>57</v>
      </c>
      <c r="K8" s="561"/>
      <c r="L8" s="562"/>
      <c r="M8" s="560" t="s">
        <v>58</v>
      </c>
      <c r="N8" s="561"/>
      <c r="O8" s="562"/>
      <c r="P8" s="560" t="s">
        <v>59</v>
      </c>
      <c r="Q8" s="561"/>
      <c r="R8" s="562"/>
      <c r="S8" s="560" t="s">
        <v>60</v>
      </c>
      <c r="T8" s="561"/>
      <c r="U8" s="562"/>
      <c r="V8" s="568" t="s">
        <v>61</v>
      </c>
      <c r="W8" s="569"/>
      <c r="X8" s="570"/>
      <c r="Y8" s="568" t="s">
        <v>62</v>
      </c>
      <c r="Z8" s="569"/>
      <c r="AA8" s="570"/>
      <c r="AB8" s="568" t="s">
        <v>63</v>
      </c>
      <c r="AC8" s="569"/>
      <c r="AD8" s="570"/>
      <c r="AE8" s="568" t="s">
        <v>64</v>
      </c>
      <c r="AF8" s="569"/>
      <c r="AG8" s="570"/>
      <c r="AH8" s="563" t="s">
        <v>65</v>
      </c>
      <c r="AI8" s="564"/>
      <c r="AJ8" s="565"/>
      <c r="AK8" s="476"/>
      <c r="AL8" s="476"/>
      <c r="AM8" s="476"/>
      <c r="AN8" s="476"/>
      <c r="AO8" s="476"/>
      <c r="AP8" s="476"/>
      <c r="AQ8" s="476"/>
      <c r="AR8" s="477"/>
      <c r="AS8" s="477"/>
      <c r="AT8" s="476"/>
      <c r="AU8" s="476"/>
      <c r="AV8" s="476"/>
      <c r="BI8" s="411">
        <v>5</v>
      </c>
      <c r="BJ8" s="543" t="str" cm="1">
        <f t="array" aca="1" ref="BJ8" ca="1" xml:space="preserve"> INDIRECT( ADDRESS( ROW($C$17), COLUMN($C$17) +$BI8) )</f>
        <v>ㄉ</v>
      </c>
      <c r="BK8" s="409" t="str" cm="1">
        <f t="array" aca="1" ref="BK8" ca="1" xml:space="preserve"> INDIRECT( ADDRESS( ROW($C$19), COLUMN($C$19) +$BI8) )</f>
        <v>t</v>
      </c>
      <c r="BL8" s="408" t="str" cm="1">
        <f t="array" aca="1" ref="BL8" ca="1" xml:space="preserve"> INDIRECT( ADDRESS( ROW($C$18), COLUMN($C$18) +$BI8) )</f>
        <v>t</v>
      </c>
      <c r="BM8" s="407" t="str" cm="1">
        <f t="array" aca="1" ref="BM8" ca="1" xml:space="preserve"> INDIRECT( ADDRESS( ROW($C$16), COLUMN($C$16) +$BI8) )</f>
        <v>2</v>
      </c>
      <c r="BO8" s="517" t="str">
        <f t="shared" ca="1" si="0"/>
        <v>"2": { commit: "ㄉ" }</v>
      </c>
      <c r="BQ8" s="161">
        <v>5</v>
      </c>
      <c r="BR8" s="294" t="s">
        <v>169</v>
      </c>
      <c r="BS8" s="294">
        <v>5</v>
      </c>
      <c r="BT8" s="529" t="s">
        <v>11</v>
      </c>
      <c r="BU8" s="512">
        <v>5</v>
      </c>
      <c r="BV8" s="512" t="s">
        <v>10</v>
      </c>
      <c r="BX8" s="536">
        <f t="shared" si="1"/>
        <v>5</v>
      </c>
      <c r="BY8" s="537" t="s">
        <v>10</v>
      </c>
      <c r="BZ8" s="224" t="s">
        <v>11</v>
      </c>
      <c r="CA8" s="225" t="s">
        <v>306</v>
      </c>
      <c r="CD8" s="411">
        <f t="shared" si="2"/>
        <v>5</v>
      </c>
      <c r="CE8" s="543" t="s">
        <v>10</v>
      </c>
      <c r="CF8" s="409" t="s">
        <v>11</v>
      </c>
      <c r="CG8" s="408" t="s">
        <v>11</v>
      </c>
    </row>
    <row r="9" spans="1:85" s="465" customFormat="1" ht="31.5" customHeight="1">
      <c r="A9" s="476"/>
      <c r="B9" s="476"/>
      <c r="C9" s="495"/>
      <c r="D9" s="487"/>
      <c r="E9" s="486"/>
      <c r="F9" s="485"/>
      <c r="G9" s="487"/>
      <c r="H9" s="486"/>
      <c r="I9" s="485"/>
      <c r="J9" s="487"/>
      <c r="K9" s="486"/>
      <c r="L9" s="485"/>
      <c r="M9" s="487"/>
      <c r="N9" s="486"/>
      <c r="O9" s="485"/>
      <c r="P9" s="487"/>
      <c r="Q9" s="486"/>
      <c r="R9" s="485"/>
      <c r="S9" s="487"/>
      <c r="T9" s="486"/>
      <c r="U9" s="485"/>
      <c r="V9" s="484" t="str">
        <f ca="1">AV42</f>
        <v>ㆫ</v>
      </c>
      <c r="W9" s="482"/>
      <c r="X9" s="516" t="str">
        <f ca="1">AV44</f>
        <v>uN</v>
      </c>
      <c r="Y9" s="483"/>
      <c r="Z9" s="482"/>
      <c r="AA9" s="481"/>
      <c r="AB9" s="484" t="str">
        <f ca="1">AI42</f>
        <v>ㆯ</v>
      </c>
      <c r="AC9" s="482"/>
      <c r="AD9" s="516" t="str">
        <f ca="1">AI44</f>
        <v>auN</v>
      </c>
      <c r="AE9" s="484" t="str">
        <f ca="1">AP42</f>
        <v>ㆲ</v>
      </c>
      <c r="AF9" s="482"/>
      <c r="AG9" s="516" t="str">
        <f ca="1">AP44</f>
        <v>ong</v>
      </c>
      <c r="AH9" s="494"/>
      <c r="AI9" s="479"/>
      <c r="AJ9" s="478"/>
      <c r="AK9" s="476"/>
      <c r="AL9" s="476"/>
      <c r="AM9" s="476"/>
      <c r="AN9" s="476"/>
      <c r="AO9" s="476"/>
      <c r="AP9" s="476"/>
      <c r="AQ9" s="476"/>
      <c r="AR9" s="477"/>
      <c r="AS9" s="477"/>
      <c r="AT9" s="476"/>
      <c r="AU9" s="476"/>
      <c r="AV9" s="476"/>
      <c r="BI9" s="411">
        <v>6</v>
      </c>
      <c r="BJ9" s="543" t="str" cm="1">
        <f t="array" aca="1" ref="BJ9" ca="1" xml:space="preserve"> INDIRECT( ADDRESS( ROW($C$17), COLUMN($C$17) +$BI9) )</f>
        <v>ㄊ</v>
      </c>
      <c r="BK9" s="409" t="str" cm="1">
        <f t="array" aca="1" ref="BK9" ca="1" xml:space="preserve"> INDIRECT( ADDRESS( ROW($C$19), COLUMN($C$19) +$BI9) )</f>
        <v>th</v>
      </c>
      <c r="BL9" s="408" t="str" cm="1">
        <f t="array" aca="1" ref="BL9" ca="1" xml:space="preserve"> INDIRECT( ADDRESS( ROW($C$18), COLUMN($C$18) +$BI9) )</f>
        <v>T</v>
      </c>
      <c r="BM9" s="407" t="str" cm="1">
        <f t="array" aca="1" ref="BM9" ca="1" xml:space="preserve"> INDIRECT( ADDRESS( ROW($C$16), COLUMN($C$16) +$BI9) )</f>
        <v>w</v>
      </c>
      <c r="BO9" s="517" t="str">
        <f t="shared" ca="1" si="0"/>
        <v>"w": { commit: "ㄊ" }</v>
      </c>
      <c r="BQ9" s="161">
        <v>6</v>
      </c>
      <c r="BR9" s="294" t="s">
        <v>170</v>
      </c>
      <c r="BS9" s="294">
        <v>6</v>
      </c>
      <c r="BT9" s="529" t="s">
        <v>28</v>
      </c>
      <c r="BU9" s="512">
        <v>6</v>
      </c>
      <c r="BV9" s="512" t="s">
        <v>39</v>
      </c>
      <c r="BX9" s="536">
        <f t="shared" si="1"/>
        <v>6</v>
      </c>
      <c r="BY9" s="537" t="s">
        <v>39</v>
      </c>
      <c r="BZ9" s="224" t="s">
        <v>40</v>
      </c>
      <c r="CA9" s="225" t="s">
        <v>305</v>
      </c>
      <c r="CD9" s="411">
        <f t="shared" si="2"/>
        <v>6</v>
      </c>
      <c r="CE9" s="543" t="s">
        <v>39</v>
      </c>
      <c r="CF9" s="409" t="s">
        <v>40</v>
      </c>
      <c r="CG9" s="408" t="s">
        <v>28</v>
      </c>
    </row>
    <row r="10" spans="1:85" ht="31.5" customHeight="1" thickBot="1">
      <c r="A10" s="434"/>
      <c r="B10" s="434"/>
      <c r="C10" s="434"/>
      <c r="D10" s="474" t="str">
        <f ca="1">G42</f>
        <v>ㄇ</v>
      </c>
      <c r="E10" s="473"/>
      <c r="F10" s="472" t="s">
        <v>66</v>
      </c>
      <c r="G10" s="474" t="str">
        <f ca="1">J42</f>
        <v>ㄋ</v>
      </c>
      <c r="H10" s="473"/>
      <c r="I10" s="472" t="s">
        <v>68</v>
      </c>
      <c r="J10" s="474" t="str">
        <f ca="1">N42</f>
        <v>ㄎ</v>
      </c>
      <c r="K10" s="473"/>
      <c r="L10" s="472" t="s">
        <v>70</v>
      </c>
      <c r="M10" s="474" t="str">
        <f ca="1">S42</f>
        <v>ㄑ</v>
      </c>
      <c r="N10" s="473"/>
      <c r="O10" s="539" t="str">
        <f ca="1">S44</f>
        <v>chi</v>
      </c>
      <c r="P10" s="493" t="str">
        <f ca="1">O42</f>
        <v>ㄫ</v>
      </c>
      <c r="Q10" s="473"/>
      <c r="R10" s="475" t="str">
        <f ca="1">O44</f>
        <v>ng</v>
      </c>
      <c r="S10" s="474" t="str">
        <f ca="1">W42</f>
        <v>ㄘ</v>
      </c>
      <c r="T10" s="473"/>
      <c r="U10" s="539" t="str">
        <f ca="1">W44</f>
        <v>ch</v>
      </c>
      <c r="V10" s="468" t="str">
        <f ca="1">AU42</f>
        <v>ㄨ</v>
      </c>
      <c r="W10" s="467"/>
      <c r="X10" s="540" t="str">
        <f ca="1">AU44</f>
        <v>u</v>
      </c>
      <c r="Y10" s="468" t="str">
        <f ca="1">AC42</f>
        <v>ㄜ</v>
      </c>
      <c r="Z10" s="467"/>
      <c r="AA10" s="496" t="str">
        <f ca="1">AC44</f>
        <v>o</v>
      </c>
      <c r="AB10" s="468" t="str">
        <f ca="1">AH42</f>
        <v>ㄠ</v>
      </c>
      <c r="AC10" s="467"/>
      <c r="AD10" s="540" t="str">
        <f ca="1">AH44</f>
        <v>au</v>
      </c>
      <c r="AE10" s="468" t="str">
        <f ca="1">AO42</f>
        <v>ㄤ</v>
      </c>
      <c r="AF10" s="491"/>
      <c r="AG10" s="496" t="str">
        <f ca="1">AO44</f>
        <v>ang</v>
      </c>
      <c r="AH10" s="566"/>
      <c r="AI10" s="567"/>
      <c r="AJ10" s="490"/>
      <c r="AK10" s="434"/>
      <c r="AL10" s="434"/>
      <c r="AM10" s="434"/>
      <c r="AN10" s="434"/>
      <c r="AO10" s="434"/>
      <c r="AP10" s="434"/>
      <c r="AQ10" s="434"/>
      <c r="AR10" s="435"/>
      <c r="AS10" s="435"/>
      <c r="AT10" s="434"/>
      <c r="AU10" s="434"/>
      <c r="AV10" s="434"/>
      <c r="BI10" s="411">
        <v>7</v>
      </c>
      <c r="BJ10" s="543" t="str" cm="1">
        <f t="array" aca="1" ref="BJ10" ca="1" xml:space="preserve"> INDIRECT( ADDRESS( ROW($C$17), COLUMN($C$17) +$BI10) )</f>
        <v>ㄋ</v>
      </c>
      <c r="BK10" s="409" t="str" cm="1">
        <f t="array" aca="1" ref="BK10" ca="1" xml:space="preserve"> INDIRECT( ADDRESS( ROW($C$19), COLUMN($C$19) +$BI10) )</f>
        <v>n</v>
      </c>
      <c r="BL10" s="408" t="str" cm="1">
        <f t="array" aca="1" ref="BL10" ca="1" xml:space="preserve"> INDIRECT( ADDRESS( ROW($C$18), COLUMN($C$18) +$BI10) )</f>
        <v>n</v>
      </c>
      <c r="BM10" s="407" t="str" cm="1">
        <f t="array" aca="1" ref="BM10" ca="1" xml:space="preserve"> INDIRECT( ADDRESS( ROW($C$16), COLUMN($C$16) +$BI10) )</f>
        <v>s</v>
      </c>
      <c r="BO10" s="517" t="str">
        <f t="shared" ca="1" si="0"/>
        <v>"s": { commit: "ㄋ" }</v>
      </c>
      <c r="BQ10" s="161">
        <v>7</v>
      </c>
      <c r="BR10" s="294" t="s">
        <v>99</v>
      </c>
      <c r="BS10" s="294">
        <v>7</v>
      </c>
      <c r="BT10" s="529" t="s">
        <v>68</v>
      </c>
      <c r="BU10" s="512">
        <v>7</v>
      </c>
      <c r="BV10" s="512" t="s">
        <v>67</v>
      </c>
      <c r="BX10" s="536">
        <f t="shared" si="1"/>
        <v>7</v>
      </c>
      <c r="BY10" s="537" t="s">
        <v>67</v>
      </c>
      <c r="BZ10" s="224" t="s">
        <v>68</v>
      </c>
      <c r="CA10" s="225" t="s">
        <v>304</v>
      </c>
      <c r="CD10" s="411">
        <f t="shared" si="2"/>
        <v>7</v>
      </c>
      <c r="CE10" s="543" t="s">
        <v>67</v>
      </c>
      <c r="CF10" s="409" t="s">
        <v>68</v>
      </c>
      <c r="CG10" s="408" t="s">
        <v>68</v>
      </c>
    </row>
    <row r="11" spans="1:85" s="465" customFormat="1" ht="31.5" customHeight="1">
      <c r="A11" s="476"/>
      <c r="B11" s="476"/>
      <c r="C11" s="476"/>
      <c r="D11" s="476"/>
      <c r="E11" s="560" t="s">
        <v>707</v>
      </c>
      <c r="F11" s="561"/>
      <c r="G11" s="562"/>
      <c r="H11" s="560" t="s">
        <v>82</v>
      </c>
      <c r="I11" s="561"/>
      <c r="J11" s="562"/>
      <c r="K11" s="560" t="s">
        <v>83</v>
      </c>
      <c r="L11" s="561"/>
      <c r="M11" s="562"/>
      <c r="N11" s="560" t="s">
        <v>84</v>
      </c>
      <c r="O11" s="561"/>
      <c r="P11" s="562"/>
      <c r="Q11" s="560" t="s">
        <v>85</v>
      </c>
      <c r="R11" s="561"/>
      <c r="S11" s="562"/>
      <c r="T11" s="560" t="s">
        <v>86</v>
      </c>
      <c r="U11" s="561"/>
      <c r="V11" s="562"/>
      <c r="W11" s="568" t="s">
        <v>87</v>
      </c>
      <c r="X11" s="569"/>
      <c r="Y11" s="570"/>
      <c r="Z11" s="568" t="s">
        <v>888</v>
      </c>
      <c r="AA11" s="569"/>
      <c r="AB11" s="570"/>
      <c r="AC11" s="568" t="s">
        <v>88</v>
      </c>
      <c r="AD11" s="569"/>
      <c r="AE11" s="570"/>
      <c r="AF11" s="563" t="s">
        <v>89</v>
      </c>
      <c r="AG11" s="564"/>
      <c r="AH11" s="565"/>
      <c r="AI11" s="476"/>
      <c r="AJ11" s="476"/>
      <c r="AK11" s="476"/>
      <c r="AL11" s="476"/>
      <c r="AM11" s="476"/>
      <c r="AN11" s="476"/>
      <c r="AO11" s="476"/>
      <c r="AP11" s="476"/>
      <c r="AQ11" s="476"/>
      <c r="AR11" s="477"/>
      <c r="AS11" s="477"/>
      <c r="AT11" s="476"/>
      <c r="AU11" s="476"/>
      <c r="AV11" s="476"/>
      <c r="BI11" s="411">
        <v>8</v>
      </c>
      <c r="BJ11" s="543" t="str" cm="1">
        <f t="array" aca="1" ref="BJ11" ca="1" xml:space="preserve"> INDIRECT( ADDRESS( ROW($C$17), COLUMN($C$17) +$BI11) )</f>
        <v>ㄌ</v>
      </c>
      <c r="BK11" s="409" t="str" cm="1">
        <f t="array" aca="1" ref="BK11" ca="1" xml:space="preserve"> INDIRECT( ADDRESS( ROW($C$19), COLUMN($C$19) +$BI11) )</f>
        <v>l</v>
      </c>
      <c r="BL11" s="408" t="str" cm="1">
        <f t="array" aca="1" ref="BL11" ca="1" xml:space="preserve"> INDIRECT( ADDRESS( ROW($C$18), COLUMN($C$18) +$BI11) )</f>
        <v>l</v>
      </c>
      <c r="BM11" s="407" t="str" cm="1">
        <f t="array" aca="1" ref="BM11" ca="1" xml:space="preserve"> INDIRECT( ADDRESS( ROW($C$16), COLUMN($C$16) +$BI11) )</f>
        <v>x</v>
      </c>
      <c r="BO11" s="517" t="str">
        <f t="shared" ca="1" si="0"/>
        <v>"x": { commit: "ㄌ" }</v>
      </c>
      <c r="BQ11" s="161">
        <v>8</v>
      </c>
      <c r="BR11" s="294" t="s">
        <v>171</v>
      </c>
      <c r="BS11" s="294">
        <v>8</v>
      </c>
      <c r="BT11" s="529" t="s">
        <v>93</v>
      </c>
      <c r="BU11" s="512">
        <v>8</v>
      </c>
      <c r="BV11" s="512" t="s">
        <v>92</v>
      </c>
      <c r="BX11" s="536">
        <f t="shared" si="1"/>
        <v>8</v>
      </c>
      <c r="BY11" s="537" t="s">
        <v>92</v>
      </c>
      <c r="BZ11" s="224" t="s">
        <v>93</v>
      </c>
      <c r="CA11" s="225" t="s">
        <v>303</v>
      </c>
      <c r="CD11" s="411">
        <f t="shared" si="2"/>
        <v>8</v>
      </c>
      <c r="CE11" s="543" t="s">
        <v>92</v>
      </c>
      <c r="CF11" s="409" t="s">
        <v>93</v>
      </c>
      <c r="CG11" s="408" t="s">
        <v>93</v>
      </c>
    </row>
    <row r="12" spans="1:85" s="465" customFormat="1" ht="31.5" customHeight="1">
      <c r="A12" s="476"/>
      <c r="B12" s="476"/>
      <c r="C12" s="476"/>
      <c r="D12" s="476"/>
      <c r="E12" s="487"/>
      <c r="F12" s="486"/>
      <c r="G12" s="485"/>
      <c r="H12" s="487"/>
      <c r="I12" s="486"/>
      <c r="J12" s="485"/>
      <c r="K12" s="487"/>
      <c r="L12" s="486"/>
      <c r="M12" s="485"/>
      <c r="N12" s="487"/>
      <c r="O12" s="486"/>
      <c r="P12" s="485"/>
      <c r="Q12" s="489"/>
      <c r="R12" s="486"/>
      <c r="S12" s="488"/>
      <c r="T12" s="487"/>
      <c r="U12" s="486"/>
      <c r="V12" s="485"/>
      <c r="W12" s="483"/>
      <c r="X12" s="482"/>
      <c r="Y12" s="481"/>
      <c r="Z12" s="484" t="str">
        <f ca="1">AE42</f>
        <v>ㆥ</v>
      </c>
      <c r="AA12" s="482"/>
      <c r="AB12" s="516" t="str">
        <f ca="1">AE44</f>
        <v>eN</v>
      </c>
      <c r="AC12" s="484" t="str">
        <f ca="1">AK42</f>
        <v>ㆱ</v>
      </c>
      <c r="AD12" s="482"/>
      <c r="AE12" s="481" t="s">
        <v>897</v>
      </c>
      <c r="AF12" s="480" t="str">
        <f ca="1">AQ42</f>
        <v>ㄥ</v>
      </c>
      <c r="AG12" s="479"/>
      <c r="AH12" s="542" t="str">
        <f ca="1">AQ44</f>
        <v>ing</v>
      </c>
      <c r="AI12" s="476"/>
      <c r="AJ12" s="476"/>
      <c r="AK12" s="476"/>
      <c r="AL12" s="476"/>
      <c r="AM12" s="476"/>
      <c r="AN12" s="476"/>
      <c r="AO12" s="476"/>
      <c r="AP12" s="476"/>
      <c r="AQ12" s="476"/>
      <c r="AR12" s="477"/>
      <c r="AS12" s="477"/>
      <c r="AT12" s="476"/>
      <c r="AU12" s="476"/>
      <c r="AV12" s="476"/>
      <c r="BI12" s="411">
        <v>9</v>
      </c>
      <c r="BJ12" s="543" t="str" cm="1">
        <f t="array" aca="1" ref="BJ12" ca="1" xml:space="preserve"> INDIRECT( ADDRESS( ROW($C$17), COLUMN($C$17) +$BI12) )</f>
        <v>ㄍ</v>
      </c>
      <c r="BK12" s="409" t="str" cm="1">
        <f t="array" aca="1" ref="BK12" ca="1" xml:space="preserve"> INDIRECT( ADDRESS( ROW($C$19), COLUMN($C$19) +$BI12) )</f>
        <v>k</v>
      </c>
      <c r="BL12" s="408" t="str" cm="1">
        <f t="array" aca="1" ref="BL12" ca="1" xml:space="preserve"> INDIRECT( ADDRESS( ROW($C$18), COLUMN($C$18) +$BI12) )</f>
        <v>k</v>
      </c>
      <c r="BM12" s="407" t="str" cm="1">
        <f t="array" aca="1" ref="BM12" ca="1" xml:space="preserve"> INDIRECT( ADDRESS( ROW($C$16), COLUMN($C$16) +$BI12) )</f>
        <v>e</v>
      </c>
      <c r="BO12" s="517" t="str">
        <f t="shared" ca="1" si="0"/>
        <v>"e": { commit: "ㄍ" }</v>
      </c>
      <c r="BQ12" s="161">
        <v>9</v>
      </c>
      <c r="BR12" s="294" t="s">
        <v>53</v>
      </c>
      <c r="BS12" s="294">
        <v>9</v>
      </c>
      <c r="BT12" s="529" t="s">
        <v>42</v>
      </c>
      <c r="BU12" s="512">
        <v>9</v>
      </c>
      <c r="BV12" s="512" t="s">
        <v>41</v>
      </c>
      <c r="BX12" s="536">
        <f t="shared" si="1"/>
        <v>9</v>
      </c>
      <c r="BY12" s="537" t="s">
        <v>41</v>
      </c>
      <c r="BZ12" s="224" t="s">
        <v>42</v>
      </c>
      <c r="CA12" s="225" t="s">
        <v>302</v>
      </c>
      <c r="CD12" s="411">
        <f t="shared" si="2"/>
        <v>9</v>
      </c>
      <c r="CE12" s="543" t="s">
        <v>41</v>
      </c>
      <c r="CF12" s="409" t="s">
        <v>42</v>
      </c>
      <c r="CG12" s="408" t="s">
        <v>42</v>
      </c>
    </row>
    <row r="13" spans="1:85" ht="31.5" customHeight="1" thickBot="1">
      <c r="A13" s="434"/>
      <c r="B13" s="434"/>
      <c r="C13" s="434"/>
      <c r="D13" s="434"/>
      <c r="E13" s="474"/>
      <c r="F13" s="473"/>
      <c r="G13" s="472"/>
      <c r="H13" s="474" t="str">
        <f ca="1">K42</f>
        <v>ㄌ</v>
      </c>
      <c r="I13" s="473"/>
      <c r="J13" s="472" t="s">
        <v>93</v>
      </c>
      <c r="K13" s="474" t="str">
        <f ca="1">P42</f>
        <v>ㄏ</v>
      </c>
      <c r="L13" s="473"/>
      <c r="M13" s="475" t="str">
        <f ca="1">P43</f>
        <v>h</v>
      </c>
      <c r="N13" s="474" t="str">
        <f ca="1">T42</f>
        <v>ㄒ</v>
      </c>
      <c r="O13" s="473"/>
      <c r="P13" s="475" t="str">
        <f ca="1">T44</f>
        <v>si</v>
      </c>
      <c r="Q13" s="474"/>
      <c r="R13" s="473"/>
      <c r="S13" s="475"/>
      <c r="T13" s="474" t="str">
        <f ca="1">X42</f>
        <v>ㄙ</v>
      </c>
      <c r="U13" s="473"/>
      <c r="V13" s="475" t="str">
        <f ca="1">X44</f>
        <v>s</v>
      </c>
      <c r="W13" s="468" t="str">
        <f ca="1">AL42</f>
        <v>ㆬ</v>
      </c>
      <c r="X13" s="467"/>
      <c r="Y13" s="496" t="str">
        <f ca="1">AL44</f>
        <v>-m</v>
      </c>
      <c r="Z13" s="468" t="str">
        <f ca="1">AD42</f>
        <v>ㆤ</v>
      </c>
      <c r="AA13" s="467"/>
      <c r="AB13" s="540" t="str">
        <f ca="1">AD44</f>
        <v>e</v>
      </c>
      <c r="AC13" s="468" t="str">
        <f ca="1">AJ42</f>
        <v>ㆰ</v>
      </c>
      <c r="AD13" s="467"/>
      <c r="AE13" s="471" t="s">
        <v>143</v>
      </c>
      <c r="AF13" s="468" t="str">
        <f ca="1">AR42</f>
        <v>ㆭ</v>
      </c>
      <c r="AG13" s="467"/>
      <c r="AH13" s="541" t="str">
        <f ca="1">AR44</f>
        <v>-ng</v>
      </c>
      <c r="AI13" s="434"/>
      <c r="AJ13" s="434"/>
      <c r="AK13" s="434"/>
      <c r="AL13" s="434"/>
      <c r="AM13" s="434"/>
      <c r="AN13" s="434"/>
      <c r="AO13" s="434"/>
      <c r="AP13" s="434"/>
      <c r="AQ13" s="434"/>
      <c r="AR13" s="435"/>
      <c r="AS13" s="435"/>
      <c r="AT13" s="434"/>
      <c r="AU13" s="434"/>
      <c r="AV13" s="434"/>
      <c r="BG13" s="465"/>
      <c r="BI13" s="411">
        <v>10</v>
      </c>
      <c r="BJ13" s="543" t="str" cm="1">
        <f t="array" aca="1" ref="BJ13" ca="1" xml:space="preserve"> INDIRECT( ADDRESS( ROW($C$17), COLUMN($C$17) +$BI13) )</f>
        <v>ㆣ</v>
      </c>
      <c r="BK13" s="409" t="str" cm="1">
        <f t="array" aca="1" ref="BK13" ca="1" xml:space="preserve"> INDIRECT( ADDRESS( ROW($C$19), COLUMN($C$19) +$BI13) )</f>
        <v>g</v>
      </c>
      <c r="BL13" s="408" t="str" cm="1">
        <f t="array" aca="1" ref="BL13" ca="1" xml:space="preserve"> INDIRECT( ADDRESS( ROW($C$18), COLUMN($C$18) +$BI13) )</f>
        <v>g</v>
      </c>
      <c r="BM13" s="407" t="str" cm="1">
        <f t="array" aca="1" ref="BM13" ca="1" xml:space="preserve"> INDIRECT( ADDRESS( ROW($C$16), COLUMN($C$16) +$BI13) )</f>
        <v>E</v>
      </c>
      <c r="BO13" s="517" t="str">
        <f t="shared" ca="1" si="0"/>
        <v>"E": { commit: "ㆣ" }</v>
      </c>
      <c r="BQ13" s="161">
        <v>10</v>
      </c>
      <c r="BR13" s="294" t="s">
        <v>26</v>
      </c>
      <c r="BS13" s="294">
        <v>10</v>
      </c>
      <c r="BT13" s="529" t="s">
        <v>45</v>
      </c>
      <c r="BU13" s="512">
        <v>10</v>
      </c>
      <c r="BV13" s="515" t="s">
        <v>44</v>
      </c>
      <c r="BX13" s="536">
        <f t="shared" si="1"/>
        <v>10</v>
      </c>
      <c r="BY13" s="537" t="s">
        <v>41</v>
      </c>
      <c r="BZ13" s="224" t="s">
        <v>70</v>
      </c>
      <c r="CA13" s="225" t="s">
        <v>301</v>
      </c>
      <c r="CD13" s="411">
        <f t="shared" si="2"/>
        <v>10</v>
      </c>
      <c r="CE13" s="543" t="s">
        <v>44</v>
      </c>
      <c r="CF13" s="409" t="s">
        <v>45</v>
      </c>
      <c r="CG13" s="408" t="s">
        <v>45</v>
      </c>
    </row>
    <row r="14" spans="1:85" ht="31.5" customHeight="1">
      <c r="A14" s="434"/>
      <c r="B14" s="434"/>
      <c r="C14" s="434"/>
      <c r="D14" s="434"/>
      <c r="E14" s="434"/>
      <c r="F14" s="434"/>
      <c r="G14" s="434"/>
      <c r="H14" s="434"/>
      <c r="I14" s="434"/>
      <c r="J14" s="434"/>
      <c r="K14" s="434"/>
      <c r="L14" s="434"/>
      <c r="M14" s="434"/>
      <c r="N14" s="434"/>
      <c r="O14" s="434"/>
      <c r="P14" s="434"/>
      <c r="Q14" s="434"/>
      <c r="R14" s="434"/>
      <c r="S14" s="434"/>
      <c r="T14" s="434"/>
      <c r="U14" s="434"/>
      <c r="V14" s="434"/>
      <c r="W14" s="434"/>
      <c r="X14" s="434"/>
      <c r="Y14" s="434"/>
      <c r="Z14" s="434"/>
      <c r="AA14" s="434"/>
      <c r="AB14" s="434"/>
      <c r="AC14" s="434"/>
      <c r="AD14" s="434"/>
      <c r="AE14" s="434"/>
      <c r="AF14" s="434"/>
      <c r="AG14" s="434"/>
      <c r="AH14" s="434"/>
      <c r="AI14" s="434"/>
      <c r="AJ14" s="434"/>
      <c r="AK14" s="434"/>
      <c r="AL14" s="434"/>
      <c r="AM14" s="434"/>
      <c r="AN14" s="434"/>
      <c r="AO14" s="434"/>
      <c r="AP14" s="434"/>
      <c r="AQ14" s="434"/>
      <c r="AR14" s="435"/>
      <c r="AS14" s="435"/>
      <c r="AT14" s="434"/>
      <c r="AU14" s="434"/>
      <c r="AV14" s="434"/>
      <c r="BG14" s="465"/>
      <c r="BI14" s="411">
        <v>11</v>
      </c>
      <c r="BJ14" s="543" t="str" cm="1">
        <f t="array" aca="1" ref="BJ14" ca="1" xml:space="preserve"> INDIRECT( ADDRESS( ROW($C$17), COLUMN($C$17) +$BI14) )</f>
        <v>ㄎ</v>
      </c>
      <c r="BK14" s="409" t="str" cm="1">
        <f t="array" aca="1" ref="BK14" ca="1" xml:space="preserve"> INDIRECT( ADDRESS( ROW($C$19), COLUMN($C$19) +$BI14) )</f>
        <v>kh</v>
      </c>
      <c r="BL14" s="408" t="str" cm="1">
        <f t="array" aca="1" ref="BL14" ca="1" xml:space="preserve"> INDIRECT( ADDRESS( ROW($C$18), COLUMN($C$18) +$BI14) )</f>
        <v>K</v>
      </c>
      <c r="BM14" s="407" t="str" cm="1">
        <f t="array" aca="1" ref="BM14" ca="1" xml:space="preserve"> INDIRECT( ADDRESS( ROW($C$16), COLUMN($C$16) +$BI14) )</f>
        <v>d</v>
      </c>
      <c r="BO14" s="517" t="str">
        <f t="shared" ca="1" si="0"/>
        <v>"d": { commit: "ㄎ" }</v>
      </c>
      <c r="BQ14" s="161">
        <v>11</v>
      </c>
      <c r="BR14" s="294" t="s">
        <v>163</v>
      </c>
      <c r="BS14" s="294">
        <v>11</v>
      </c>
      <c r="BT14" s="529" t="s">
        <v>62</v>
      </c>
      <c r="BU14" s="512">
        <v>11</v>
      </c>
      <c r="BV14" s="512" t="s">
        <v>69</v>
      </c>
      <c r="BX14" s="536">
        <f t="shared" si="1"/>
        <v>11</v>
      </c>
      <c r="BY14" s="537" t="s">
        <v>69</v>
      </c>
      <c r="BZ14" s="224" t="s">
        <v>95</v>
      </c>
      <c r="CA14" s="225" t="s">
        <v>298</v>
      </c>
      <c r="CD14" s="411">
        <f t="shared" si="2"/>
        <v>11</v>
      </c>
      <c r="CE14" s="543" t="s">
        <v>69</v>
      </c>
      <c r="CF14" s="409" t="s">
        <v>70</v>
      </c>
      <c r="CG14" s="408" t="s">
        <v>62</v>
      </c>
    </row>
    <row r="15" spans="1:85" s="458" customFormat="1" ht="31.5" customHeight="1">
      <c r="A15" s="464"/>
      <c r="B15" s="463" t="s">
        <v>103</v>
      </c>
      <c r="C15" s="462"/>
      <c r="D15" s="461" cm="1">
        <f t="array" ref="D15" xml:space="preserve"> COLUMN() - COLUMN($C:$C)</f>
        <v>1</v>
      </c>
      <c r="E15" s="461" cm="1">
        <f t="array" ref="E15" xml:space="preserve"> COLUMN() - COLUMN($C:$C)</f>
        <v>2</v>
      </c>
      <c r="F15" s="461" cm="1">
        <f t="array" ref="F15" xml:space="preserve"> COLUMN() - COLUMN($C:$C)</f>
        <v>3</v>
      </c>
      <c r="G15" s="461" cm="1">
        <f t="array" ref="G15" xml:space="preserve"> COLUMN() - COLUMN($C:$C)</f>
        <v>4</v>
      </c>
      <c r="H15" s="461" cm="1">
        <f t="array" ref="H15" xml:space="preserve"> COLUMN() - COLUMN($C:$C)</f>
        <v>5</v>
      </c>
      <c r="I15" s="461" cm="1">
        <f t="array" ref="I15" xml:space="preserve"> COLUMN() - COLUMN($C:$C)</f>
        <v>6</v>
      </c>
      <c r="J15" s="461" cm="1">
        <f t="array" ref="J15" xml:space="preserve"> COLUMN() - COLUMN($C:$C)</f>
        <v>7</v>
      </c>
      <c r="K15" s="461" cm="1">
        <f t="array" ref="K15" xml:space="preserve"> COLUMN() - COLUMN($C:$C)</f>
        <v>8</v>
      </c>
      <c r="L15" s="461" cm="1">
        <f t="array" ref="L15" xml:space="preserve"> COLUMN() - COLUMN($C:$C)</f>
        <v>9</v>
      </c>
      <c r="M15" s="461" cm="1">
        <f t="array" ref="M15" xml:space="preserve"> COLUMN() - COLUMN($C:$C)</f>
        <v>10</v>
      </c>
      <c r="N15" s="461" cm="1">
        <f t="array" ref="N15" xml:space="preserve"> COLUMN() - COLUMN($C:$C)</f>
        <v>11</v>
      </c>
      <c r="O15" s="461" cm="1">
        <f t="array" ref="O15" xml:space="preserve"> COLUMN() - COLUMN($C:$C)</f>
        <v>12</v>
      </c>
      <c r="P15" s="461" cm="1">
        <f t="array" ref="P15" xml:space="preserve"> COLUMN() - COLUMN($C:$C)</f>
        <v>13</v>
      </c>
      <c r="Q15" s="461" cm="1">
        <f t="array" ref="Q15" xml:space="preserve"> COLUMN() - COLUMN($C:$C)</f>
        <v>14</v>
      </c>
      <c r="R15" s="461" cm="1">
        <f t="array" ref="R15" xml:space="preserve"> COLUMN() - COLUMN($C:$C)</f>
        <v>15</v>
      </c>
      <c r="S15" s="461" cm="1">
        <f t="array" ref="S15" xml:space="preserve"> COLUMN() - COLUMN($C:$C)</f>
        <v>16</v>
      </c>
      <c r="T15" s="461" cm="1">
        <f t="array" ref="T15" xml:space="preserve"> COLUMN() - COLUMN($C:$C)</f>
        <v>17</v>
      </c>
      <c r="U15" s="461" cm="1">
        <f t="array" ref="U15" xml:space="preserve"> COLUMN() - COLUMN($C:$C)</f>
        <v>18</v>
      </c>
      <c r="V15" s="461" cm="1">
        <f t="array" ref="V15" xml:space="preserve"> COLUMN() - COLUMN($C:$C)</f>
        <v>19</v>
      </c>
      <c r="W15" s="461" cm="1">
        <f t="array" ref="W15" xml:space="preserve"> COLUMN() - COLUMN($C:$C)</f>
        <v>20</v>
      </c>
      <c r="X15" s="461" cm="1">
        <f t="array" ref="X15" xml:space="preserve"> COLUMN() - COLUMN($C:$C)</f>
        <v>21</v>
      </c>
      <c r="Y15" s="460" cm="1">
        <f t="array" ref="Y15" xml:space="preserve"> COLUMN() - COLUMN($C:$C)</f>
        <v>22</v>
      </c>
      <c r="Z15" s="460" cm="1">
        <f t="array" ref="Z15" xml:space="preserve"> COLUMN() - COLUMN($C:$C)</f>
        <v>23</v>
      </c>
      <c r="AA15" s="460" cm="1">
        <f t="array" ref="AA15" xml:space="preserve"> COLUMN() - COLUMN($C:$C)</f>
        <v>24</v>
      </c>
      <c r="AB15" s="460" cm="1">
        <f t="array" ref="AB15" xml:space="preserve"> COLUMN() - COLUMN($C:$C)</f>
        <v>25</v>
      </c>
      <c r="AC15" s="460" cm="1">
        <f t="array" ref="AC15" xml:space="preserve"> COLUMN() - COLUMN($C:$C)</f>
        <v>26</v>
      </c>
      <c r="AD15" s="460" cm="1">
        <f t="array" ref="AD15" xml:space="preserve"> COLUMN() - COLUMN($C:$C)</f>
        <v>27</v>
      </c>
      <c r="AE15" s="460" cm="1">
        <f t="array" ref="AE15" xml:space="preserve"> COLUMN() - COLUMN($C:$C)</f>
        <v>28</v>
      </c>
      <c r="AF15" s="460" cm="1">
        <f t="array" ref="AF15" xml:space="preserve"> COLUMN() - COLUMN($C:$C)</f>
        <v>29</v>
      </c>
      <c r="AG15" s="460" cm="1">
        <f t="array" ref="AG15" xml:space="preserve"> COLUMN() - COLUMN($C:$C)</f>
        <v>30</v>
      </c>
      <c r="AH15" s="460" cm="1">
        <f t="array" ref="AH15" xml:space="preserve"> COLUMN() - COLUMN($C:$C)</f>
        <v>31</v>
      </c>
      <c r="AI15" s="460" cm="1">
        <f t="array" ref="AI15" xml:space="preserve"> COLUMN() - COLUMN($C:$C)</f>
        <v>32</v>
      </c>
      <c r="AJ15" s="460" cm="1">
        <f t="array" ref="AJ15" xml:space="preserve"> COLUMN() - COLUMN($C:$C)</f>
        <v>33</v>
      </c>
      <c r="AK15" s="460" cm="1">
        <f t="array" ref="AK15" xml:space="preserve"> COLUMN() - COLUMN($C:$C)</f>
        <v>34</v>
      </c>
      <c r="AL15" s="460" cm="1">
        <f t="array" ref="AL15" xml:space="preserve"> COLUMN() - COLUMN($C:$C)</f>
        <v>35</v>
      </c>
      <c r="AM15" s="460" cm="1">
        <f t="array" ref="AM15" xml:space="preserve"> COLUMN() - COLUMN($C:$C)</f>
        <v>36</v>
      </c>
      <c r="AN15" s="460" cm="1">
        <f t="array" ref="AN15" xml:space="preserve"> COLUMN() - COLUMN($C:$C)</f>
        <v>37</v>
      </c>
      <c r="AO15" s="460" cm="1">
        <f t="array" ref="AO15" xml:space="preserve"> COLUMN() - COLUMN($C:$C)</f>
        <v>38</v>
      </c>
      <c r="AP15" s="460" cm="1">
        <f t="array" ref="AP15" xml:space="preserve"> COLUMN() - COLUMN($C:$C)</f>
        <v>39</v>
      </c>
      <c r="AQ15" s="460" cm="1">
        <f t="array" ref="AQ15" xml:space="preserve"> COLUMN() - COLUMN($C:$C)</f>
        <v>40</v>
      </c>
      <c r="AR15" s="460" cm="1">
        <f t="array" ref="AR15" xml:space="preserve"> COLUMN() - COLUMN($C:$C)</f>
        <v>41</v>
      </c>
      <c r="AS15" s="460" cm="1">
        <f t="array" ref="AS15" xml:space="preserve"> COLUMN() - COLUMN($C:$C)</f>
        <v>42</v>
      </c>
      <c r="AT15" s="460" cm="1">
        <f t="array" ref="AT15" xml:space="preserve"> COLUMN() - COLUMN($C:$C)</f>
        <v>43</v>
      </c>
      <c r="AU15" s="460" cm="1">
        <f t="array" ref="AU15" xml:space="preserve"> COLUMN() - COLUMN($C:$C)</f>
        <v>44</v>
      </c>
      <c r="AV15" s="460" cm="1">
        <f t="array" ref="AV15" xml:space="preserve"> COLUMN() - COLUMN($C:$C)</f>
        <v>45</v>
      </c>
      <c r="AW15" s="460" cm="1">
        <f t="array" ref="AW15" xml:space="preserve"> COLUMN() - COLUMN($C:$C)</f>
        <v>46</v>
      </c>
      <c r="AX15" s="459" cm="1">
        <f t="array" ref="AX15" xml:space="preserve"> COLUMN() - COLUMN($C:$C)</f>
        <v>47</v>
      </c>
      <c r="AY15" s="459" cm="1">
        <f t="array" ref="AY15" xml:space="preserve"> COLUMN() - COLUMN($C:$C)</f>
        <v>48</v>
      </c>
      <c r="AZ15" s="460" cm="1">
        <f t="array" ref="AZ15" xml:space="preserve"> COLUMN() - COLUMN($C:$C)</f>
        <v>49</v>
      </c>
      <c r="BA15" s="459" cm="1">
        <f t="array" ref="BA15" xml:space="preserve"> COLUMN() - COLUMN($C:$C)</f>
        <v>50</v>
      </c>
      <c r="BB15" s="459" cm="1">
        <f t="array" ref="BB15" xml:space="preserve"> COLUMN() - COLUMN($C:$C)</f>
        <v>51</v>
      </c>
      <c r="BC15" s="459" cm="1">
        <f t="array" ref="BC15" xml:space="preserve"> COLUMN() - COLUMN($C:$C)</f>
        <v>52</v>
      </c>
      <c r="BD15" s="459" cm="1">
        <f t="array" ref="BD15" xml:space="preserve"> COLUMN() - COLUMN($C:$C)</f>
        <v>53</v>
      </c>
      <c r="BE15" s="459" cm="1">
        <f t="array" ref="BE15" xml:space="preserve"> COLUMN() - COLUMN($C:$C)</f>
        <v>54</v>
      </c>
      <c r="BF15" s="459" cm="1">
        <f t="array" ref="BF15" xml:space="preserve"> COLUMN() - COLUMN($C:$C)</f>
        <v>55</v>
      </c>
      <c r="BG15" s="459" cm="1">
        <f t="array" ref="BG15" xml:space="preserve"> COLUMN() - COLUMN($C:$C)</f>
        <v>56</v>
      </c>
      <c r="BI15" s="411">
        <v>12</v>
      </c>
      <c r="BJ15" s="543" t="str" cm="1">
        <f t="array" aca="1" ref="BJ15" ca="1" xml:space="preserve"> INDIRECT( ADDRESS( ROW($C$17), COLUMN($C$17) +$BI15) )</f>
        <v>ㄫ</v>
      </c>
      <c r="BK15" s="409" t="str" cm="1">
        <f t="array" aca="1" ref="BK15" ca="1" xml:space="preserve"> INDIRECT( ADDRESS( ROW($C$19), COLUMN($C$19) +$BI15) )</f>
        <v>ng</v>
      </c>
      <c r="BL15" s="408" t="str" cm="1">
        <f t="array" aca="1" ref="BL15" ca="1" xml:space="preserve"> INDIRECT( ADDRESS( ROW($C$18), COLUMN($C$18) +$BI15) )</f>
        <v>w</v>
      </c>
      <c r="BM15" s="407" t="str" cm="1">
        <f t="array" aca="1" ref="BM15" ca="1" xml:space="preserve"> INDIRECT( ADDRESS( ROW($C$16), COLUMN($C$16) +$BI15) )</f>
        <v>g</v>
      </c>
      <c r="BO15" s="517" t="str">
        <f t="shared" ca="1" si="0"/>
        <v>"g": { commit: "ㄫ" }</v>
      </c>
      <c r="BQ15" s="161">
        <v>12</v>
      </c>
      <c r="BR15" s="531" t="s">
        <v>57</v>
      </c>
      <c r="BS15" s="294">
        <v>12</v>
      </c>
      <c r="BT15" s="529" t="s">
        <v>59</v>
      </c>
      <c r="BU15" s="512">
        <v>12</v>
      </c>
      <c r="BV15" s="515" t="s">
        <v>72</v>
      </c>
      <c r="BX15" s="536">
        <f t="shared" si="1"/>
        <v>12</v>
      </c>
      <c r="BY15" s="537" t="s">
        <v>69</v>
      </c>
      <c r="BZ15" s="224" t="s">
        <v>549</v>
      </c>
      <c r="CA15" s="225" t="s">
        <v>550</v>
      </c>
      <c r="CD15" s="411">
        <f t="shared" si="2"/>
        <v>12</v>
      </c>
      <c r="CE15" s="543" t="s">
        <v>72</v>
      </c>
      <c r="CF15" s="409" t="s">
        <v>73</v>
      </c>
      <c r="CG15" s="408" t="s">
        <v>59</v>
      </c>
    </row>
    <row r="16" spans="1:85" s="436" customFormat="1" ht="31.5" customHeight="1">
      <c r="A16" s="443"/>
      <c r="B16" s="457" t="s">
        <v>167</v>
      </c>
      <c r="C16" s="456"/>
      <c r="D16" s="454" t="str">
        <f t="shared" ref="D16:N16" ca="1" si="3">D41</f>
        <v>1</v>
      </c>
      <c r="E16" s="454" t="str">
        <f t="shared" ca="1" si="3"/>
        <v>!</v>
      </c>
      <c r="F16" s="454" t="str">
        <f t="shared" ca="1" si="3"/>
        <v>q</v>
      </c>
      <c r="G16" s="454" t="str">
        <f t="shared" ca="1" si="3"/>
        <v>a</v>
      </c>
      <c r="H16" s="454" t="str">
        <f t="shared" ca="1" si="3"/>
        <v>2</v>
      </c>
      <c r="I16" s="454" t="str">
        <f t="shared" ca="1" si="3"/>
        <v>w</v>
      </c>
      <c r="J16" s="454" t="str">
        <f t="shared" ca="1" si="3"/>
        <v>s</v>
      </c>
      <c r="K16" s="454" t="str">
        <f t="shared" ca="1" si="3"/>
        <v>x</v>
      </c>
      <c r="L16" s="454" t="str">
        <f t="shared" ca="1" si="3"/>
        <v>e</v>
      </c>
      <c r="M16" s="454" t="str">
        <f t="shared" ca="1" si="3"/>
        <v>E</v>
      </c>
      <c r="N16" s="454" t="str">
        <f t="shared" ca="1" si="3"/>
        <v>d</v>
      </c>
      <c r="O16" s="454" t="s">
        <v>126</v>
      </c>
      <c r="P16" s="454" t="str">
        <f t="shared" ref="P16:S17" ca="1" si="4">U41</f>
        <v>y</v>
      </c>
      <c r="Q16" s="454" t="str">
        <f t="shared" ca="1" si="4"/>
        <v>Y</v>
      </c>
      <c r="R16" s="454" t="str">
        <f t="shared" ca="1" si="4"/>
        <v>h</v>
      </c>
      <c r="S16" s="454" t="str">
        <f t="shared" ca="1" si="4"/>
        <v>n</v>
      </c>
      <c r="T16" s="454" t="str">
        <f t="shared" ref="T16:X17" ca="1" si="5">P41</f>
        <v>c</v>
      </c>
      <c r="U16" s="454" t="str">
        <f t="shared" ca="1" si="5"/>
        <v>r</v>
      </c>
      <c r="V16" s="454" t="str">
        <f t="shared" ca="1" si="5"/>
        <v>R</v>
      </c>
      <c r="W16" s="454" t="str">
        <f t="shared" ca="1" si="5"/>
        <v>f</v>
      </c>
      <c r="X16" s="454" t="str">
        <f t="shared" ca="1" si="5"/>
        <v>v</v>
      </c>
      <c r="Y16" s="454" t="str">
        <f t="shared" ref="Y16:AB17" ca="1" si="6">AS41</f>
        <v>u</v>
      </c>
      <c r="Z16" s="454" t="str">
        <f t="shared" ca="1" si="6"/>
        <v>U</v>
      </c>
      <c r="AA16" s="454" t="str">
        <f t="shared" ca="1" si="6"/>
        <v>j</v>
      </c>
      <c r="AB16" s="454" t="str">
        <f t="shared" ca="1" si="6"/>
        <v>J</v>
      </c>
      <c r="AC16" s="454" t="str">
        <f t="shared" ref="AC16:AG17" ca="1" si="7">Y41</f>
        <v>8</v>
      </c>
      <c r="AD16" s="454" t="str">
        <f t="shared" ca="1" si="7"/>
        <v>*</v>
      </c>
      <c r="AE16" s="454" t="str">
        <f t="shared" ca="1" si="7"/>
        <v>i</v>
      </c>
      <c r="AF16" s="454" t="str">
        <f t="shared" ca="1" si="7"/>
        <v>I</v>
      </c>
      <c r="AG16" s="454" t="str">
        <f t="shared" ca="1" si="7"/>
        <v>k</v>
      </c>
      <c r="AH16" s="455" t="s">
        <v>256</v>
      </c>
      <c r="AI16" s="455" t="s">
        <v>648</v>
      </c>
      <c r="AJ16" s="455" t="s">
        <v>139</v>
      </c>
      <c r="AK16" s="454" t="str">
        <f ca="1">AL41</f>
        <v>m</v>
      </c>
      <c r="AL16" s="454" t="str">
        <f ca="1">AN41</f>
        <v>p</v>
      </c>
      <c r="AM16" s="455" t="s">
        <v>257</v>
      </c>
      <c r="AN16" s="455" t="s">
        <v>932</v>
      </c>
      <c r="AO16" s="455" t="s">
        <v>799</v>
      </c>
      <c r="AP16" s="454" t="str">
        <f t="shared" ref="AP16:AS17" ca="1" si="8">AF41</f>
        <v>9</v>
      </c>
      <c r="AQ16" s="454" t="str">
        <f t="shared" ca="1" si="8"/>
        <v>(</v>
      </c>
      <c r="AR16" s="454" t="str">
        <f t="shared" ca="1" si="8"/>
        <v>l</v>
      </c>
      <c r="AS16" s="454" t="str">
        <f t="shared" ca="1" si="8"/>
        <v>L</v>
      </c>
      <c r="AT16" s="454" t="str">
        <f ca="1">AM41</f>
        <v>0</v>
      </c>
      <c r="AU16" s="454" t="str">
        <f ca="1">AP41</f>
        <v>:</v>
      </c>
      <c r="AV16" s="454" t="str">
        <f ca="1">AO41</f>
        <v>;</v>
      </c>
      <c r="AW16" s="455" t="s">
        <v>196</v>
      </c>
      <c r="AX16" s="454" t="str">
        <f t="shared" ref="AX16:BC16" ca="1" si="9">BA41</f>
        <v xml:space="preserve"> </v>
      </c>
      <c r="AY16" s="454" t="str">
        <f t="shared" ca="1" si="9"/>
        <v>4</v>
      </c>
      <c r="AZ16" s="454" t="str">
        <f t="shared" ca="1" si="9"/>
        <v>3</v>
      </c>
      <c r="BA16" s="454" t="str">
        <f t="shared" ca="1" si="9"/>
        <v>6</v>
      </c>
      <c r="BB16" s="454" t="str">
        <f t="shared" ca="1" si="9"/>
        <v>5</v>
      </c>
      <c r="BC16" s="454" t="str">
        <f t="shared" ca="1" si="9"/>
        <v>7</v>
      </c>
      <c r="BD16" s="553" t="str">
        <f t="shared" ref="BD16:BG19" ca="1" si="10">AW41</f>
        <v>b</v>
      </c>
      <c r="BE16" s="553" t="str">
        <f t="shared" ca="1" si="10"/>
        <v>t</v>
      </c>
      <c r="BF16" s="553" t="str">
        <f t="shared" ca="1" si="10"/>
        <v>g</v>
      </c>
      <c r="BG16" s="553" t="str">
        <f t="shared" ca="1" si="10"/>
        <v>z</v>
      </c>
      <c r="BI16" s="411">
        <v>13</v>
      </c>
      <c r="BJ16" s="543" t="str" cm="1">
        <f t="array" aca="1" ref="BJ16" ca="1" xml:space="preserve"> INDIRECT( ADDRESS( ROW($C$17), COLUMN($C$17) +$BI16) )</f>
        <v>ㄗ</v>
      </c>
      <c r="BK16" s="409" t="str" cm="1">
        <f t="array" aca="1" ref="BK16" ca="1" xml:space="preserve"> INDIRECT( ADDRESS( ROW($C$19), COLUMN($C$19) +$BI16) )</f>
        <v>c</v>
      </c>
      <c r="BL16" s="408" t="str" cm="1">
        <f t="array" aca="1" ref="BL16" ca="1" xml:space="preserve"> INDIRECT( ADDRESS( ROW($C$18), COLUMN($C$18) +$BI16) )</f>
        <v>z</v>
      </c>
      <c r="BM16" s="407" t="str" cm="1">
        <f t="array" aca="1" ref="BM16" ca="1" xml:space="preserve"> INDIRECT( ADDRESS( ROW($C$16), COLUMN($C$16) +$BI16) )</f>
        <v>y</v>
      </c>
      <c r="BO16" s="517" t="str">
        <f t="shared" ca="1" si="0"/>
        <v>"y": { commit: "ㄗ" }</v>
      </c>
      <c r="BQ16" s="161">
        <v>13</v>
      </c>
      <c r="BR16" s="294" t="s">
        <v>166</v>
      </c>
      <c r="BS16" s="294">
        <v>13</v>
      </c>
      <c r="BT16" s="529" t="s">
        <v>95</v>
      </c>
      <c r="BU16" s="512">
        <v>13</v>
      </c>
      <c r="BV16" s="512" t="s">
        <v>94</v>
      </c>
      <c r="BX16" s="536">
        <f t="shared" si="1"/>
        <v>13</v>
      </c>
      <c r="BY16" s="537" t="s">
        <v>94</v>
      </c>
      <c r="BZ16" s="224" t="s">
        <v>924</v>
      </c>
      <c r="CA16" s="225" t="s">
        <v>554</v>
      </c>
      <c r="CD16" s="411">
        <f t="shared" si="2"/>
        <v>13</v>
      </c>
      <c r="CE16" s="543" t="s">
        <v>94</v>
      </c>
      <c r="CF16" s="409" t="s">
        <v>95</v>
      </c>
      <c r="CG16" s="408" t="s">
        <v>95</v>
      </c>
    </row>
    <row r="17" spans="1:85" s="436" customFormat="1" ht="31.5" customHeight="1">
      <c r="A17" s="443"/>
      <c r="B17" s="453" t="s">
        <v>104</v>
      </c>
      <c r="C17" s="452"/>
      <c r="D17" s="448" t="str">
        <f t="shared" ref="D17:O17" ca="1" si="11">D42</f>
        <v>ㄅ</v>
      </c>
      <c r="E17" s="448" t="str">
        <f t="shared" ca="1" si="11"/>
        <v>ㆠ</v>
      </c>
      <c r="F17" s="448" t="str">
        <f t="shared" ca="1" si="11"/>
        <v>ㄆ</v>
      </c>
      <c r="G17" s="448" t="str">
        <f t="shared" ca="1" si="11"/>
        <v>ㄇ</v>
      </c>
      <c r="H17" s="448" t="str">
        <f t="shared" ca="1" si="11"/>
        <v>ㄉ</v>
      </c>
      <c r="I17" s="448" t="str">
        <f t="shared" ca="1" si="11"/>
        <v>ㄊ</v>
      </c>
      <c r="J17" s="448" t="str">
        <f t="shared" ca="1" si="11"/>
        <v>ㄋ</v>
      </c>
      <c r="K17" s="448" t="str">
        <f t="shared" ca="1" si="11"/>
        <v>ㄌ</v>
      </c>
      <c r="L17" s="448" t="str">
        <f t="shared" ca="1" si="11"/>
        <v>ㄍ</v>
      </c>
      <c r="M17" s="448" t="str">
        <f t="shared" ca="1" si="11"/>
        <v>ㆣ</v>
      </c>
      <c r="N17" s="448" t="str">
        <f t="shared" ca="1" si="11"/>
        <v>ㄎ</v>
      </c>
      <c r="O17" s="448" t="str">
        <f t="shared" ca="1" si="11"/>
        <v>ㄫ</v>
      </c>
      <c r="P17" s="448" t="str">
        <f t="shared" ca="1" si="4"/>
        <v>ㄗ</v>
      </c>
      <c r="Q17" s="448" t="str">
        <f t="shared" ca="1" si="4"/>
        <v>ㆡ</v>
      </c>
      <c r="R17" s="448" t="str">
        <f t="shared" ca="1" si="4"/>
        <v>ㄘ</v>
      </c>
      <c r="S17" s="448" t="str">
        <f t="shared" ca="1" si="4"/>
        <v>ㄙ</v>
      </c>
      <c r="T17" s="448" t="str">
        <f t="shared" ca="1" si="5"/>
        <v>ㄏ</v>
      </c>
      <c r="U17" s="448" t="str">
        <f t="shared" ca="1" si="5"/>
        <v>ㄐ</v>
      </c>
      <c r="V17" s="448" t="str">
        <f t="shared" ca="1" si="5"/>
        <v>ㆢ</v>
      </c>
      <c r="W17" s="448" t="str">
        <f t="shared" ca="1" si="5"/>
        <v>ㄑ</v>
      </c>
      <c r="X17" s="448" t="str">
        <f t="shared" ca="1" si="5"/>
        <v>ㄒ</v>
      </c>
      <c r="Y17" s="448" t="str">
        <f t="shared" ca="1" si="6"/>
        <v>ㄧ</v>
      </c>
      <c r="Z17" s="448" t="str">
        <f t="shared" ca="1" si="6"/>
        <v>ㆪ</v>
      </c>
      <c r="AA17" s="448" t="str">
        <f t="shared" ca="1" si="6"/>
        <v>ㄨ</v>
      </c>
      <c r="AB17" s="448" t="str">
        <f t="shared" ca="1" si="6"/>
        <v>ㆫ</v>
      </c>
      <c r="AC17" s="448" t="str">
        <f t="shared" ca="1" si="7"/>
        <v>ㄚ</v>
      </c>
      <c r="AD17" s="448" t="str">
        <f t="shared" ca="1" si="7"/>
        <v>ㆩ</v>
      </c>
      <c r="AE17" s="448" t="str">
        <f t="shared" ca="1" si="7"/>
        <v>ㆦ</v>
      </c>
      <c r="AF17" s="448" t="str">
        <f t="shared" ca="1" si="7"/>
        <v>ㆧ</v>
      </c>
      <c r="AG17" s="448" t="str">
        <f t="shared" ca="1" si="7"/>
        <v>ㄜ</v>
      </c>
      <c r="AH17" s="448" t="str">
        <f ca="1">AD42</f>
        <v>ㆤ</v>
      </c>
      <c r="AI17" s="448" t="str">
        <f ca="1">AE42</f>
        <v>ㆥ</v>
      </c>
      <c r="AJ17" s="448" t="s">
        <v>939</v>
      </c>
      <c r="AK17" s="448" t="str">
        <f ca="1">AL42</f>
        <v>ㆬ</v>
      </c>
      <c r="AL17" s="448" t="str">
        <f ca="1">AN42</f>
        <v>ㄣ</v>
      </c>
      <c r="AM17" s="448" t="str">
        <f ca="1">AR42</f>
        <v>ㆭ</v>
      </c>
      <c r="AN17" s="448" t="str">
        <f ca="1">AK42</f>
        <v>ㆱ</v>
      </c>
      <c r="AO17" s="448" t="str">
        <f ca="1">AJ42</f>
        <v>ㆰ</v>
      </c>
      <c r="AP17" s="448" t="str">
        <f t="shared" ca="1" si="8"/>
        <v>ㄞ</v>
      </c>
      <c r="AQ17" s="448" t="str">
        <f t="shared" ca="1" si="8"/>
        <v>ㆮ</v>
      </c>
      <c r="AR17" s="448" t="str">
        <f t="shared" ca="1" si="8"/>
        <v>ㄠ</v>
      </c>
      <c r="AS17" s="448" t="str">
        <f t="shared" ca="1" si="8"/>
        <v>ㆯ</v>
      </c>
      <c r="AT17" s="448" t="str">
        <f ca="1">AM42</f>
        <v>ㄢ</v>
      </c>
      <c r="AU17" s="448" t="str">
        <f ca="1">AP42</f>
        <v>ㆲ</v>
      </c>
      <c r="AV17" s="448" t="str">
        <f ca="1">AO42</f>
        <v>ㄤ</v>
      </c>
      <c r="AW17" s="448" t="str">
        <f ca="1">AQ42</f>
        <v>ㄥ</v>
      </c>
      <c r="AX17" s="448" t="s">
        <v>943</v>
      </c>
      <c r="AY17" s="448" t="str">
        <f ca="1">BB42</f>
        <v>ˋ</v>
      </c>
      <c r="AZ17" s="448" t="str">
        <f ca="1">BC42</f>
        <v>˪</v>
      </c>
      <c r="BA17" s="448" t="str">
        <f ca="1">BD42</f>
        <v>ˊ</v>
      </c>
      <c r="BB17" s="448" t="str">
        <f ca="1">BE42</f>
        <v>˫</v>
      </c>
      <c r="BC17" s="448" t="str">
        <f ca="1">BF42</f>
        <v>˙</v>
      </c>
      <c r="BD17" s="554" t="str">
        <f t="shared" ca="1" si="10"/>
        <v>ㆴ</v>
      </c>
      <c r="BE17" s="554" t="str">
        <f t="shared" ca="1" si="10"/>
        <v>ㆵ</v>
      </c>
      <c r="BF17" s="554" t="str">
        <f t="shared" ca="1" si="10"/>
        <v>ㆻ</v>
      </c>
      <c r="BG17" s="554" t="str">
        <f t="shared" ca="1" si="10"/>
        <v>ㆷ</v>
      </c>
      <c r="BI17" s="411">
        <v>14</v>
      </c>
      <c r="BJ17" s="543" t="str" cm="1">
        <f t="array" aca="1" ref="BJ17" ca="1" xml:space="preserve"> INDIRECT( ADDRESS( ROW($C$17), COLUMN($C$17) +$BI17) )</f>
        <v>ㆡ</v>
      </c>
      <c r="BK17" s="409" t="str" cm="1">
        <f t="array" aca="1" ref="BK17" ca="1" xml:space="preserve"> INDIRECT( ADDRESS( ROW($C$19), COLUMN($C$19) +$BI17) )</f>
        <v>j</v>
      </c>
      <c r="BL17" s="408" t="str" cm="1">
        <f t="array" aca="1" ref="BL17" ca="1" xml:space="preserve"> INDIRECT( ADDRESS( ROW($C$18), COLUMN($C$18) +$BI17) )</f>
        <v>j</v>
      </c>
      <c r="BM17" s="407" t="str" cm="1">
        <f t="array" aca="1" ref="BM17" ca="1" xml:space="preserve"> INDIRECT( ADDRESS( ROW($C$16), COLUMN($C$16) +$BI17) )</f>
        <v>Y</v>
      </c>
      <c r="BO17" s="517" t="str">
        <f t="shared" ca="1" si="0"/>
        <v>"Y": { commit: "ㆡ" }</v>
      </c>
      <c r="BQ17" s="161">
        <v>14</v>
      </c>
      <c r="BR17" s="294" t="s">
        <v>172</v>
      </c>
      <c r="BS17" s="294">
        <v>14</v>
      </c>
      <c r="BT17" s="529" t="s">
        <v>707</v>
      </c>
      <c r="BU17" s="512">
        <v>14</v>
      </c>
      <c r="BV17" s="512" t="s">
        <v>43</v>
      </c>
      <c r="BX17" s="536">
        <f t="shared" si="1"/>
        <v>14</v>
      </c>
      <c r="BY17" s="537" t="s">
        <v>43</v>
      </c>
      <c r="BZ17" s="224" t="s">
        <v>556</v>
      </c>
      <c r="CA17" s="225" t="s">
        <v>557</v>
      </c>
      <c r="CD17" s="411">
        <f t="shared" si="2"/>
        <v>14</v>
      </c>
      <c r="CE17" s="543" t="s">
        <v>43</v>
      </c>
      <c r="CF17" s="409" t="s">
        <v>549</v>
      </c>
      <c r="CG17" s="408" t="s">
        <v>707</v>
      </c>
    </row>
    <row r="18" spans="1:85" s="436" customFormat="1" ht="31.5" customHeight="1">
      <c r="A18" s="443"/>
      <c r="B18" s="442" t="s">
        <v>873</v>
      </c>
      <c r="C18" s="441"/>
      <c r="D18" s="438" t="str" cm="1">
        <f t="array" aca="1" ref="D18" ca="1" xml:space="preserve"> INDEX(注音符號字典編碼!$E$6:$E$57, MATCH(TRUE, EXACT(D$17, 注音符號字典編碼!$C$6:$C$57), 0))</f>
        <v>p</v>
      </c>
      <c r="E18" s="438" t="str" cm="1">
        <f t="array" aca="1" ref="E18" ca="1" xml:space="preserve"> INDEX(注音符號字典編碼!$E$6:$E$57, MATCH(TRUE, EXACT(E$17, 注音符號字典編碼!$C$6:$C$57), 0))</f>
        <v>b</v>
      </c>
      <c r="F18" s="438" t="str" cm="1">
        <f t="array" aca="1" ref="F18" ca="1" xml:space="preserve"> INDEX(注音符號字典編碼!$E$6:$E$57, MATCH(TRUE, EXACT(F$17, 注音符號字典編碼!$C$6:$C$57), 0))</f>
        <v>P</v>
      </c>
      <c r="G18" s="438" t="str" cm="1">
        <f t="array" aca="1" ref="G18" ca="1" xml:space="preserve"> INDEX(注音符號字典編碼!$E$6:$E$57, MATCH(TRUE, EXACT(G$17, 注音符號字典編碼!$C$6:$C$57), 0))</f>
        <v>m</v>
      </c>
      <c r="H18" s="438" t="str" cm="1">
        <f t="array" aca="1" ref="H18" ca="1" xml:space="preserve"> INDEX(注音符號字典編碼!$E$6:$E$57, MATCH(TRUE, EXACT(H$17, 注音符號字典編碼!$C$6:$C$57), 0))</f>
        <v>t</v>
      </c>
      <c r="I18" s="438" t="str" cm="1">
        <f t="array" aca="1" ref="I18" ca="1" xml:space="preserve"> INDEX(注音符號字典編碼!$E$6:$E$57, MATCH(TRUE, EXACT(I$17, 注音符號字典編碼!$C$6:$C$57), 0))</f>
        <v>T</v>
      </c>
      <c r="J18" s="438" t="str" cm="1">
        <f t="array" aca="1" ref="J18" ca="1" xml:space="preserve"> INDEX(注音符號字典編碼!$E$6:$E$57, MATCH(TRUE, EXACT(J$17, 注音符號字典編碼!$C$6:$C$57), 0))</f>
        <v>n</v>
      </c>
      <c r="K18" s="438" t="str" cm="1">
        <f t="array" aca="1" ref="K18" ca="1" xml:space="preserve"> INDEX(注音符號字典編碼!$E$6:$E$57, MATCH(TRUE, EXACT(K$17, 注音符號字典編碼!$C$6:$C$57), 0))</f>
        <v>l</v>
      </c>
      <c r="L18" s="438" t="str" cm="1">
        <f t="array" aca="1" ref="L18" ca="1" xml:space="preserve"> INDEX(注音符號字典編碼!$E$6:$E$57, MATCH(TRUE, EXACT(L$17, 注音符號字典編碼!$C$6:$C$57), 0))</f>
        <v>k</v>
      </c>
      <c r="M18" s="556" t="str" cm="1">
        <f t="array" aca="1" ref="M18" ca="1" xml:space="preserve"> INDEX(注音符號字典編碼!$E$6:$E$57, MATCH(TRUE, EXACT(M$17, 注音符號字典編碼!$C$6:$C$57), 0))</f>
        <v>g</v>
      </c>
      <c r="N18" s="556" t="str" cm="1">
        <f t="array" aca="1" ref="N18" ca="1" xml:space="preserve"> INDEX(注音符號字典編碼!$E$6:$E$57, MATCH(TRUE, EXACT(N$17, 注音符號字典編碼!$C$6:$C$57), 0))</f>
        <v>K</v>
      </c>
      <c r="O18" s="556" t="str" cm="1">
        <f t="array" aca="1" ref="O18" ca="1" xml:space="preserve"> INDEX(注音符號字典編碼!$E$6:$E$57, MATCH(TRUE, EXACT(O$17, 注音符號字典編碼!$C$6:$C$57), 0))</f>
        <v>w</v>
      </c>
      <c r="P18" s="556" t="str" cm="1">
        <f t="array" aca="1" ref="P18" ca="1" xml:space="preserve"> INDEX(注音符號字典編碼!$E$6:$E$57, MATCH(TRUE, EXACT(P$17, 注音符號字典編碼!$C$6:$C$57), 0))</f>
        <v>z</v>
      </c>
      <c r="Q18" s="556" t="str" cm="1">
        <f t="array" aca="1" ref="Q18" ca="1" xml:space="preserve"> INDEX(注音符號字典編碼!$E$6:$E$57, MATCH(TRUE, EXACT(Q$17, 注音符號字典編碼!$C$6:$C$57), 0))</f>
        <v>j</v>
      </c>
      <c r="R18" s="556" t="str" cm="1">
        <f t="array" aca="1" ref="R18" ca="1" xml:space="preserve"> INDEX(注音符號字典編碼!$E$6:$E$57, MATCH(TRUE, EXACT(R$17, 注音符號字典編碼!$C$6:$C$57), 0))</f>
        <v>c</v>
      </c>
      <c r="S18" s="556" t="str" cm="1">
        <f t="array" aca="1" ref="S18" ca="1" xml:space="preserve"> INDEX(注音符號字典編碼!$E$6:$E$57, MATCH(TRUE, EXACT(S$17, 注音符號字典編碼!$C$6:$C$57), 0))</f>
        <v>s</v>
      </c>
      <c r="T18" s="556" t="str" cm="1">
        <f t="array" aca="1" ref="T18" ca="1" xml:space="preserve"> INDEX(注音符號字典編碼!$E$6:$E$57, MATCH(TRUE, EXACT(T$17, 注音符號字典編碼!$C$6:$C$57), 0))</f>
        <v>h</v>
      </c>
      <c r="U18" s="556" t="str" cm="1">
        <f t="array" aca="1" ref="U18" ca="1" xml:space="preserve"> INDEX(注音符號字典編碼!$E$6:$E$57, MATCH(TRUE, EXACT(U$17, 注音符號字典編碼!$C$6:$C$57), 0))</f>
        <v>Z</v>
      </c>
      <c r="V18" s="556" t="str" cm="1">
        <f t="array" aca="1" ref="V18" ca="1" xml:space="preserve"> INDEX(注音符號字典編碼!$E$6:$E$57, MATCH(TRUE, EXACT(V$17, 注音符號字典編碼!$C$6:$C$57), 0))</f>
        <v>J</v>
      </c>
      <c r="W18" s="556" t="str" cm="1">
        <f t="array" aca="1" ref="W18" ca="1" xml:space="preserve"> INDEX(注音符號字典編碼!$E$6:$E$57, MATCH(TRUE, EXACT(W$17, 注音符號字典編碼!$C$6:$C$57), 0))</f>
        <v>C</v>
      </c>
      <c r="X18" s="556" t="str" cm="1">
        <f t="array" aca="1" ref="X18" ca="1" xml:space="preserve"> INDEX(注音符號字典編碼!$E$6:$E$57, MATCH(TRUE, EXACT(X$17, 注音符號字典編碼!$C$6:$C$57), 0))</f>
        <v>S</v>
      </c>
      <c r="Y18" s="556" t="str" cm="1">
        <f t="array" aca="1" ref="Y18" ca="1" xml:space="preserve"> INDEX(注音符號字典編碼!$E$6:$E$57, MATCH(TRUE, EXACT(Y$17, 注音符號字典編碼!$C$6:$C$57), 0))</f>
        <v>i</v>
      </c>
      <c r="Z18" s="556" t="str" cm="1">
        <f t="array" aca="1" ref="Z18" ca="1" xml:space="preserve"> INDEX(注音符號字典編碼!$E$6:$E$57, MATCH(TRUE, EXACT(Z$17, 注音符號字典編碼!$C$6:$C$57), 0))</f>
        <v>I</v>
      </c>
      <c r="AA18" s="556" t="str" cm="1">
        <f t="array" aca="1" ref="AA18" ca="1" xml:space="preserve"> INDEX(注音符號字典編碼!$E$6:$E$57, MATCH(TRUE, EXACT(AA$17, 注音符號字典編碼!$C$6:$C$57), 0))</f>
        <v>u</v>
      </c>
      <c r="AB18" s="556" t="str" cm="1">
        <f t="array" aca="1" ref="AB18" ca="1" xml:space="preserve"> INDEX(注音符號字典編碼!$E$6:$E$57, MATCH(TRUE, EXACT(AB$17, 注音符號字典編碼!$C$6:$C$57), 0))</f>
        <v>U</v>
      </c>
      <c r="AC18" s="556" t="str" cm="1">
        <f t="array" aca="1" ref="AC18" ca="1" xml:space="preserve"> INDEX(注音符號字典編碼!$E$6:$E$57, MATCH(TRUE, EXACT(AC$17, 注音符號字典編碼!$C$6:$C$57), 0))</f>
        <v>a</v>
      </c>
      <c r="AD18" s="556" t="str" cm="1">
        <f t="array" aca="1" ref="AD18" ca="1" xml:space="preserve"> INDEX(注音符號字典編碼!$E$6:$E$57, MATCH(TRUE, EXACT(AD$17, 注音符號字典編碼!$C$6:$C$57), 0))</f>
        <v>A</v>
      </c>
      <c r="AE18" s="556" t="str" cm="1">
        <f t="array" aca="1" ref="AE18" ca="1" xml:space="preserve"> INDEX(注音符號字典編碼!$E$6:$E$57, MATCH(TRUE, EXACT(AE$17, 注音符號字典編碼!$C$6:$C$57), 0))</f>
        <v>O</v>
      </c>
      <c r="AF18" s="556" t="str" cm="1">
        <f t="array" aca="1" ref="AF18" ca="1" xml:space="preserve"> INDEX(注音符號字典編碼!$E$6:$E$57, MATCH(TRUE, EXACT(AF$17, 注音符號字典編碼!$C$6:$C$57), 0))</f>
        <v>Q</v>
      </c>
      <c r="AG18" s="556" t="str" cm="1">
        <f t="array" aca="1" ref="AG18" ca="1" xml:space="preserve"> INDEX(注音符號字典編碼!$E$6:$E$57, MATCH(TRUE, EXACT(AG$17, 注音符號字典編碼!$C$6:$C$57), 0))</f>
        <v>o</v>
      </c>
      <c r="AH18" s="556" t="str" cm="1">
        <f t="array" aca="1" ref="AH18" ca="1" xml:space="preserve"> INDEX(注音符號字典編碼!$E$6:$E$57, MATCH(TRUE, EXACT(AH$17, 注音符號字典編碼!$C$6:$C$57), 0))</f>
        <v>e</v>
      </c>
      <c r="AI18" s="556" t="str" cm="1">
        <f t="array" aca="1" ref="AI18" ca="1" xml:space="preserve"> INDEX(注音符號字典編碼!$E$6:$E$57, MATCH(TRUE, EXACT(AI$17, 注音符號字典編碼!$C$6:$C$57), 0))</f>
        <v>E</v>
      </c>
      <c r="AJ18" s="556" t="str" cm="1">
        <f t="array" ref="AJ18" xml:space="preserve"> INDEX(注音符號字典編碼!$E$6:$E$57, MATCH(TRUE, EXACT(AJ$17, 注音符號字典編碼!$C$6:$C$57), 0))</f>
        <v>w</v>
      </c>
      <c r="AK18" s="556" t="str" cm="1">
        <f t="array" aca="1" ref="AK18" ca="1" xml:space="preserve"> INDEX(注音符號字典編碼!$E$6:$E$57, MATCH(TRUE, EXACT(AK$17, 注音符號字典編碼!$C$6:$C$57), 0))</f>
        <v>M</v>
      </c>
      <c r="AL18" s="556" t="str" cm="1">
        <f t="array" aca="1" ref="AL18" ca="1" xml:space="preserve"> INDEX(注音符號字典編碼!$E$6:$E$57, MATCH(TRUE, EXACT(AL$17, 注音符號字典編碼!$C$6:$C$57), 0))</f>
        <v>N</v>
      </c>
      <c r="AM18" s="556" t="str" cm="1">
        <f t="array" aca="1" ref="AM18" ca="1" xml:space="preserve"> INDEX(注音符號字典編碼!$E$6:$E$57, MATCH(TRUE, EXACT(AM$17, 注音符號字典編碼!$C$6:$C$57), 0))</f>
        <v>r</v>
      </c>
      <c r="AN18" s="556" t="str" cm="1">
        <f t="array" aca="1" ref="AN18" ca="1" xml:space="preserve"> INDEX(注音符號字典編碼!$E$6:$E$57, MATCH(TRUE, EXACT(AN$17, 注音符號字典編碼!$C$6:$C$57), 0))</f>
        <v>}</v>
      </c>
      <c r="AO18" s="556" t="str" cm="1">
        <f t="array" aca="1" ref="AO18" ca="1" xml:space="preserve"> INDEX(注音符號字典編碼!$E$6:$E$57, MATCH(TRUE, EXACT(AO$17, 注音符號字典編碼!$C$6:$C$57), 0))</f>
        <v>{</v>
      </c>
      <c r="AP18" s="556" t="str" cm="1">
        <f t="array" aca="1" ref="AP18" ca="1" xml:space="preserve"> INDEX(注音符號字典編碼!$E$6:$E$57, MATCH(TRUE, EXACT(AP$17, 注音符號字典編碼!$C$6:$C$57), 0))</f>
        <v>y</v>
      </c>
      <c r="AQ18" s="556" t="str" cm="1">
        <f t="array" aca="1" ref="AQ18" ca="1" xml:space="preserve"> INDEX(注音符號字典編碼!$E$6:$E$57, MATCH(TRUE, EXACT(AQ$17, 注音符號字典編碼!$C$6:$C$57), 0))</f>
        <v>Y</v>
      </c>
      <c r="AR18" s="556" t="str" cm="1">
        <f t="array" aca="1" ref="AR18" ca="1" xml:space="preserve"> INDEX(注音符號字典編碼!$E$6:$E$57, MATCH(TRUE, EXACT(AR$17, 注音符號字典編碼!$C$6:$C$57), 0))</f>
        <v>x</v>
      </c>
      <c r="AS18" s="556" t="str" cm="1">
        <f t="array" aca="1" ref="AS18" ca="1" xml:space="preserve"> INDEX(注音符號字典編碼!$E$6:$E$57, MATCH(TRUE, EXACT(AS$17, 注音符號字典編碼!$C$6:$C$57), 0))</f>
        <v>X</v>
      </c>
      <c r="AT18" s="556" t="str" cm="1">
        <f t="array" aca="1" ref="AT18" ca="1" xml:space="preserve"> INDEX(注音符號字典編碼!$E$6:$E$57, MATCH(TRUE, EXACT(AT$17, 注音符號字典編碼!$C$6:$C$57), 0))</f>
        <v>@</v>
      </c>
      <c r="AU18" s="556" t="str" cm="1">
        <f t="array" aca="1" ref="AU18" ca="1" xml:space="preserve"> INDEX(注音符號字典編碼!$E$6:$E$57, MATCH(TRUE, EXACT(AU$17, 注音符號字典編碼!$C$6:$C$57), 0))</f>
        <v>]</v>
      </c>
      <c r="AV18" s="556" t="str" cm="1">
        <f t="array" aca="1" ref="AV18" ca="1" xml:space="preserve"> INDEX(注音符號字典編碼!$E$6:$E$57, MATCH(TRUE, EXACT(AV$17, 注音符號字典編碼!$C$6:$C$57), 0))</f>
        <v>[</v>
      </c>
      <c r="AW18" s="556" t="str" cm="1">
        <f t="array" aca="1" ref="AW18" ca="1" xml:space="preserve"> INDEX(注音符號字典編碼!$E$6:$E$57, MATCH(TRUE, EXACT(AW$17, 注音符號字典編碼!$C$6:$C$57), 0))</f>
        <v>R</v>
      </c>
      <c r="AX18" s="556" cm="1">
        <f t="array" ref="AX18" xml:space="preserve"> INDEX(注音符號字典編碼!$E$6:$E$57, MATCH(TRUE, EXACT(AX$17, 注音符號字典編碼!$C$6:$C$57), 0))</f>
        <v>1</v>
      </c>
      <c r="AY18" s="556" cm="1">
        <f t="array" aca="1" ref="AY18" ca="1" xml:space="preserve"> INDEX(注音符號字典編碼!$E$6:$E$57, MATCH(TRUE, EXACT(AY$17, 注音符號字典編碼!$C$6:$C$57), 0))</f>
        <v>2</v>
      </c>
      <c r="AZ18" s="556" cm="1">
        <f t="array" aca="1" ref="AZ18" ca="1" xml:space="preserve"> INDEX(注音符號字典編碼!$E$6:$E$57, MATCH(TRUE, EXACT(AZ$17, 注音符號字典編碼!$C$6:$C$57), 0))</f>
        <v>3</v>
      </c>
      <c r="BA18" s="556" cm="1">
        <f t="array" aca="1" ref="BA18" ca="1" xml:space="preserve"> INDEX(注音符號字典編碼!$E$6:$E$57, MATCH(TRUE, EXACT(BA$17, 注音符號字典編碼!$C$6:$C$57), 0))</f>
        <v>5</v>
      </c>
      <c r="BB18" s="556" cm="1">
        <f t="array" aca="1" ref="BB18" ca="1" xml:space="preserve"> INDEX(注音符號字典編碼!$E$6:$E$57, MATCH(TRUE, EXACT(BB$17, 注音符號字典編碼!$C$6:$C$57), 0))</f>
        <v>7</v>
      </c>
      <c r="BC18" s="556" cm="1">
        <f t="array" aca="1" ref="BC18" ca="1" xml:space="preserve"> INDEX(注音符號字典編碼!$E$6:$E$57, MATCH(TRUE, EXACT(BC$17, 注音符號字典編碼!$C$6:$C$57), 0))</f>
        <v>0</v>
      </c>
      <c r="BD18" s="557" t="str">
        <f t="shared" ca="1" si="10"/>
        <v>9</v>
      </c>
      <c r="BE18" s="557" t="str">
        <f t="shared" ca="1" si="10"/>
        <v>&gt;</v>
      </c>
      <c r="BF18" s="557" t="str">
        <f t="shared" ca="1" si="10"/>
        <v>&lt;</v>
      </c>
      <c r="BG18" s="557" t="str">
        <f t="shared" ca="1" si="10"/>
        <v>4</v>
      </c>
      <c r="BI18" s="411">
        <v>15</v>
      </c>
      <c r="BJ18" s="543" t="str" cm="1">
        <f t="array" aca="1" ref="BJ18" ca="1" xml:space="preserve"> INDIRECT( ADDRESS( ROW($C$17), COLUMN($C$17) +$BI18) )</f>
        <v>ㄘ</v>
      </c>
      <c r="BK18" s="409" t="str" cm="1">
        <f t="array" aca="1" ref="BK18" ca="1" xml:space="preserve"> INDIRECT( ADDRESS( ROW($C$19), COLUMN($C$19) +$BI18) )</f>
        <v>ch</v>
      </c>
      <c r="BL18" s="408" t="str" cm="1">
        <f t="array" aca="1" ref="BL18" ca="1" xml:space="preserve"> INDIRECT( ADDRESS( ROW($C$18), COLUMN($C$18) +$BI18) )</f>
        <v>c</v>
      </c>
      <c r="BM18" s="407" t="str" cm="1">
        <f t="array" aca="1" ref="BM18" ca="1" xml:space="preserve"> INDIRECT( ADDRESS( ROW($C$16), COLUMN($C$16) +$BI18) )</f>
        <v>h</v>
      </c>
      <c r="BO18" s="517" t="str">
        <f t="shared" ca="1" si="0"/>
        <v>"h": { commit: "ㄘ" }</v>
      </c>
      <c r="BQ18" s="161">
        <v>15</v>
      </c>
      <c r="BR18" s="294" t="s">
        <v>27</v>
      </c>
      <c r="BS18" s="294">
        <v>15</v>
      </c>
      <c r="BT18" s="529" t="s">
        <v>61</v>
      </c>
      <c r="BU18" s="512">
        <v>15</v>
      </c>
      <c r="BV18" s="515" t="s">
        <v>105</v>
      </c>
      <c r="BX18" s="536">
        <f t="shared" si="1"/>
        <v>15</v>
      </c>
      <c r="BY18" s="537" t="s">
        <v>43</v>
      </c>
      <c r="BZ18" s="224" t="s">
        <v>45</v>
      </c>
      <c r="CA18" s="225" t="s">
        <v>300</v>
      </c>
      <c r="CD18" s="411">
        <f t="shared" si="2"/>
        <v>15</v>
      </c>
      <c r="CE18" s="543" t="s">
        <v>105</v>
      </c>
      <c r="CF18" s="409" t="s">
        <v>211</v>
      </c>
      <c r="CG18" s="408" t="s">
        <v>61</v>
      </c>
    </row>
    <row r="19" spans="1:85" s="436" customFormat="1" ht="31.5" customHeight="1">
      <c r="A19" s="443"/>
      <c r="B19" s="447" t="s">
        <v>879</v>
      </c>
      <c r="C19" s="446"/>
      <c r="D19" s="444" t="str" cm="1">
        <f t="array" aca="1" ref="D19" ca="1" xml:space="preserve"> INDEX(注音符號字典編碼!$D$6:$D$57, MATCH(TRUE, EXACT(D$17, 注音符號字典編碼!$C$6:$C$57), 0))</f>
        <v>p</v>
      </c>
      <c r="E19" s="444" t="str" cm="1">
        <f t="array" aca="1" ref="E19" ca="1" xml:space="preserve"> INDEX(注音符號字典編碼!$D$6:$D$57, MATCH(TRUE, EXACT(E$17, 注音符號字典編碼!$C$6:$C$57), 0))</f>
        <v>b</v>
      </c>
      <c r="F19" s="444" t="str" cm="1">
        <f t="array" aca="1" ref="F19" ca="1" xml:space="preserve"> INDEX(注音符號字典編碼!$D$6:$D$57, MATCH(TRUE, EXACT(F$17, 注音符號字典編碼!$C$6:$C$57), 0))</f>
        <v>ph</v>
      </c>
      <c r="G19" s="444" t="str" cm="1">
        <f t="array" aca="1" ref="G19" ca="1" xml:space="preserve"> INDEX(注音符號字典編碼!$D$6:$D$57, MATCH(TRUE, EXACT(G$17, 注音符號字典編碼!$C$6:$C$57), 0))</f>
        <v>m</v>
      </c>
      <c r="H19" s="444" t="str" cm="1">
        <f t="array" aca="1" ref="H19" ca="1" xml:space="preserve"> INDEX(注音符號字典編碼!$D$6:$D$57, MATCH(TRUE, EXACT(H$17, 注音符號字典編碼!$C$6:$C$57), 0))</f>
        <v>t</v>
      </c>
      <c r="I19" s="444" t="str" cm="1">
        <f t="array" aca="1" ref="I19" ca="1" xml:space="preserve"> INDEX(注音符號字典編碼!$D$6:$D$57, MATCH(TRUE, EXACT(I$17, 注音符號字典編碼!$C$6:$C$57), 0))</f>
        <v>th</v>
      </c>
      <c r="J19" s="444" t="str" cm="1">
        <f t="array" aca="1" ref="J19" ca="1" xml:space="preserve"> INDEX(注音符號字典編碼!$D$6:$D$57, MATCH(TRUE, EXACT(J$17, 注音符號字典編碼!$C$6:$C$57), 0))</f>
        <v>n</v>
      </c>
      <c r="K19" s="444" t="str" cm="1">
        <f t="array" aca="1" ref="K19" ca="1" xml:space="preserve"> INDEX(注音符號字典編碼!$D$6:$D$57, MATCH(TRUE, EXACT(K$17, 注音符號字典編碼!$C$6:$C$57), 0))</f>
        <v>l</v>
      </c>
      <c r="L19" s="444" t="str" cm="1">
        <f t="array" aca="1" ref="L19" ca="1" xml:space="preserve"> INDEX(注音符號字典編碼!$D$6:$D$57, MATCH(TRUE, EXACT(L$17, 注音符號字典編碼!$C$6:$C$57), 0))</f>
        <v>k</v>
      </c>
      <c r="M19" s="444" t="str" cm="1">
        <f t="array" aca="1" ref="M19" ca="1" xml:space="preserve"> INDEX(注音符號字典編碼!$D$6:$D$57, MATCH(TRUE, EXACT(M$17, 注音符號字典編碼!$C$6:$C$57), 0))</f>
        <v>g</v>
      </c>
      <c r="N19" s="444" t="str" cm="1">
        <f t="array" aca="1" ref="N19" ca="1" xml:space="preserve"> INDEX(注音符號字典編碼!$D$6:$D$57, MATCH(TRUE, EXACT(N$17, 注音符號字典編碼!$C$6:$C$57), 0))</f>
        <v>kh</v>
      </c>
      <c r="O19" s="444" t="str" cm="1">
        <f t="array" aca="1" ref="O19" ca="1" xml:space="preserve"> INDEX(注音符號字典編碼!$D$6:$D$57, MATCH(TRUE, EXACT(O$17, 注音符號字典編碼!$C$6:$C$57), 0))</f>
        <v>ng</v>
      </c>
      <c r="P19" s="444" t="str" cm="1">
        <f t="array" aca="1" ref="P19" ca="1" xml:space="preserve"> INDEX(注音符號字典編碼!$D$6:$D$57, MATCH(TRUE, EXACT(P$17, 注音符號字典編碼!$C$6:$C$57), 0))</f>
        <v>c</v>
      </c>
      <c r="Q19" s="444" t="str" cm="1">
        <f t="array" aca="1" ref="Q19" ca="1" xml:space="preserve"> INDEX(注音符號字典編碼!$D$6:$D$57, MATCH(TRUE, EXACT(Q$17, 注音符號字典編碼!$C$6:$C$57), 0))</f>
        <v>j</v>
      </c>
      <c r="R19" s="444" t="str" cm="1">
        <f t="array" aca="1" ref="R19" ca="1" xml:space="preserve"> INDEX(注音符號字典編碼!$D$6:$D$57, MATCH(TRUE, EXACT(R$17, 注音符號字典編碼!$C$6:$C$57), 0))</f>
        <v>ch</v>
      </c>
      <c r="S19" s="444" t="str" cm="1">
        <f t="array" aca="1" ref="S19" ca="1" xml:space="preserve"> INDEX(注音符號字典編碼!$D$6:$D$57, MATCH(TRUE, EXACT(S$17, 注音符號字典編碼!$C$6:$C$57), 0))</f>
        <v>s</v>
      </c>
      <c r="T19" s="444" t="str" cm="1">
        <f t="array" aca="1" ref="T19" ca="1" xml:space="preserve"> INDEX(注音符號字典編碼!$D$6:$D$57, MATCH(TRUE, EXACT(T$17, 注音符號字典編碼!$C$6:$C$57), 0))</f>
        <v>h</v>
      </c>
      <c r="U19" s="444" t="str" cm="1">
        <f t="array" aca="1" ref="U19" ca="1" xml:space="preserve"> INDEX(注音符號字典編碼!$D$6:$D$57, MATCH(TRUE, EXACT(U$17, 注音符號字典編碼!$C$6:$C$57), 0))</f>
        <v>ci</v>
      </c>
      <c r="V19" s="444" t="str" cm="1">
        <f t="array" aca="1" ref="V19" ca="1" xml:space="preserve"> INDEX(注音符號字典編碼!$D$6:$D$57, MATCH(TRUE, EXACT(V$17, 注音符號字典編碼!$C$6:$C$57), 0))</f>
        <v>ji</v>
      </c>
      <c r="W19" s="444" t="str" cm="1">
        <f t="array" aca="1" ref="W19" ca="1" xml:space="preserve"> INDEX(注音符號字典編碼!$D$6:$D$57, MATCH(TRUE, EXACT(W$17, 注音符號字典編碼!$C$6:$C$57), 0))</f>
        <v>chi</v>
      </c>
      <c r="X19" s="444" t="str" cm="1">
        <f t="array" aca="1" ref="X19" ca="1" xml:space="preserve"> INDEX(注音符號字典編碼!$D$6:$D$57, MATCH(TRUE, EXACT(X$17, 注音符號字典編碼!$C$6:$C$57), 0))</f>
        <v>si</v>
      </c>
      <c r="Y19" s="444" t="str" cm="1">
        <f t="array" aca="1" ref="Y19" ca="1" xml:space="preserve"> INDEX(注音符號字典編碼!$D$6:$D$57, MATCH(TRUE, EXACT(Y$17, 注音符號字典編碼!$C$6:$C$57), 0))</f>
        <v>i</v>
      </c>
      <c r="Z19" s="444" t="str" cm="1">
        <f t="array" aca="1" ref="Z19" ca="1" xml:space="preserve"> INDEX(注音符號字典編碼!$D$6:$D$57, MATCH(TRUE, EXACT(Z$17, 注音符號字典編碼!$C$6:$C$57), 0))</f>
        <v>iN</v>
      </c>
      <c r="AA19" s="444" t="str" cm="1">
        <f t="array" aca="1" ref="AA19" ca="1" xml:space="preserve"> INDEX(注音符號字典編碼!$D$6:$D$57, MATCH(TRUE, EXACT(AA$17, 注音符號字典編碼!$C$6:$C$57), 0))</f>
        <v>u</v>
      </c>
      <c r="AB19" s="444" t="str" cm="1">
        <f t="array" aca="1" ref="AB19" ca="1" xml:space="preserve"> INDEX(注音符號字典編碼!$D$6:$D$57, MATCH(TRUE, EXACT(AB$17, 注音符號字典編碼!$C$6:$C$57), 0))</f>
        <v>uN</v>
      </c>
      <c r="AC19" s="444" t="str" cm="1">
        <f t="array" aca="1" ref="AC19" ca="1" xml:space="preserve"> INDEX(注音符號字典編碼!$D$6:$D$57, MATCH(TRUE, EXACT(AC$17, 注音符號字典編碼!$C$6:$C$57), 0))</f>
        <v>a</v>
      </c>
      <c r="AD19" s="444" t="str" cm="1">
        <f t="array" aca="1" ref="AD19" ca="1" xml:space="preserve"> INDEX(注音符號字典編碼!$D$6:$D$57, MATCH(TRUE, EXACT(AD$17, 注音符號字典編碼!$C$6:$C$57), 0))</f>
        <v>aN</v>
      </c>
      <c r="AE19" s="444" t="str" cm="1">
        <f t="array" aca="1" ref="AE19" ca="1" xml:space="preserve"> INDEX(注音符號字典編碼!$D$6:$D$57, MATCH(TRUE, EXACT(AE$17, 注音符號字典編碼!$C$6:$C$57), 0))</f>
        <v>oo</v>
      </c>
      <c r="AF19" s="444" t="str" cm="1">
        <f t="array" aca="1" ref="AF19" ca="1" xml:space="preserve"> INDEX(注音符號字典編碼!$D$6:$D$57, MATCH(TRUE, EXACT(AF$17, 注音符號字典編碼!$C$6:$C$57), 0))</f>
        <v>ooN</v>
      </c>
      <c r="AG19" s="444" t="str" cm="1">
        <f t="array" aca="1" ref="AG19" ca="1" xml:space="preserve"> INDEX(注音符號字典編碼!$D$6:$D$57, MATCH(TRUE, EXACT(AG$17, 注音符號字典編碼!$C$6:$C$57), 0))</f>
        <v>o</v>
      </c>
      <c r="AH19" s="444" t="str" cm="1">
        <f t="array" aca="1" ref="AH19" ca="1" xml:space="preserve"> INDEX(注音符號字典編碼!$D$6:$D$57, MATCH(TRUE, EXACT(AH$17, 注音符號字典編碼!$C$6:$C$57), 0))</f>
        <v>e</v>
      </c>
      <c r="AI19" s="444" t="str" cm="1">
        <f t="array" aca="1" ref="AI19" ca="1" xml:space="preserve"> INDEX(注音符號字典編碼!$D$6:$D$57, MATCH(TRUE, EXACT(AI$17, 注音符號字典編碼!$C$6:$C$57), 0))</f>
        <v>eN</v>
      </c>
      <c r="AJ19" s="444" t="str" cm="1">
        <f t="array" ref="AJ19" xml:space="preserve"> INDEX(注音符號字典編碼!$D$6:$D$57, MATCH(TRUE, EXACT(AJ$17, 注音符號字典編碼!$C$6:$C$57), 0))</f>
        <v>ir</v>
      </c>
      <c r="AK19" s="444" t="str" cm="1">
        <f t="array" aca="1" ref="AK19" ca="1" xml:space="preserve"> INDEX(注音符號字典編碼!$D$6:$D$57, MATCH(TRUE, EXACT(AK$17, 注音符號字典編碼!$C$6:$C$57), 0))</f>
        <v>-m</v>
      </c>
      <c r="AL19" s="444" t="str" cm="1">
        <f t="array" aca="1" ref="AL19" ca="1" xml:space="preserve"> INDEX(注音符號字典編碼!$D$6:$D$57, MATCH(TRUE, EXACT(AL$17, 注音符號字典編碼!$C$6:$C$57), 0))</f>
        <v>-n</v>
      </c>
      <c r="AM19" s="444" t="str" cm="1">
        <f t="array" aca="1" ref="AM19" ca="1" xml:space="preserve"> INDEX(注音符號字典編碼!$D$6:$D$57, MATCH(TRUE, EXACT(AM$17, 注音符號字典編碼!$C$6:$C$57), 0))</f>
        <v>-ng</v>
      </c>
      <c r="AN19" s="444" t="str" cm="1">
        <f t="array" aca="1" ref="AN19" ca="1" xml:space="preserve"> INDEX(注音符號字典編碼!$D$6:$D$57, MATCH(TRUE, EXACT(AN$17, 注音符號字典編碼!$C$6:$C$57), 0))</f>
        <v>om</v>
      </c>
      <c r="AO19" s="444" t="str" cm="1">
        <f t="array" aca="1" ref="AO19" ca="1" xml:space="preserve"> INDEX(注音符號字典編碼!$D$6:$D$57, MATCH(TRUE, EXACT(AO$17, 注音符號字典編碼!$C$6:$C$57), 0))</f>
        <v>am</v>
      </c>
      <c r="AP19" s="444" t="str" cm="1">
        <f t="array" aca="1" ref="AP19" ca="1" xml:space="preserve"> INDEX(注音符號字典編碼!$D$6:$D$57, MATCH(TRUE, EXACT(AP$17, 注音符號字典編碼!$C$6:$C$57), 0))</f>
        <v>ai</v>
      </c>
      <c r="AQ19" s="444" t="str" cm="1">
        <f t="array" aca="1" ref="AQ19" ca="1" xml:space="preserve"> INDEX(注音符號字典編碼!$D$6:$D$57, MATCH(TRUE, EXACT(AQ$17, 注音符號字典編碼!$C$6:$C$57), 0))</f>
        <v>aiN</v>
      </c>
      <c r="AR19" s="444" t="str" cm="1">
        <f t="array" aca="1" ref="AR19" ca="1" xml:space="preserve"> INDEX(注音符號字典編碼!$D$6:$D$57, MATCH(TRUE, EXACT(AR$17, 注音符號字典編碼!$C$6:$C$57), 0))</f>
        <v>au</v>
      </c>
      <c r="AS19" s="444" t="str" cm="1">
        <f t="array" aca="1" ref="AS19" ca="1" xml:space="preserve"> INDEX(注音符號字典編碼!$D$6:$D$57, MATCH(TRUE, EXACT(AS$17, 注音符號字典編碼!$C$6:$C$57), 0))</f>
        <v>auN</v>
      </c>
      <c r="AT19" s="444" t="str" cm="1">
        <f t="array" aca="1" ref="AT19" ca="1" xml:space="preserve"> INDEX(注音符號字典編碼!$D$6:$D$57, MATCH(TRUE, EXACT(AT$17, 注音符號字典編碼!$C$6:$C$57), 0))</f>
        <v>an</v>
      </c>
      <c r="AU19" s="444" t="str" cm="1">
        <f t="array" aca="1" ref="AU19" ca="1" xml:space="preserve"> INDEX(注音符號字典編碼!$D$6:$D$57, MATCH(TRUE, EXACT(AU$17, 注音符號字典編碼!$C$6:$C$57), 0))</f>
        <v>ong</v>
      </c>
      <c r="AV19" s="444" t="str" cm="1">
        <f t="array" aca="1" ref="AV19" ca="1" xml:space="preserve"> INDEX(注音符號字典編碼!$D$6:$D$57, MATCH(TRUE, EXACT(AV$17, 注音符號字典編碼!$C$6:$C$57), 0))</f>
        <v>ang</v>
      </c>
      <c r="AW19" s="444" t="str" cm="1">
        <f t="array" aca="1" ref="AW19" ca="1" xml:space="preserve"> INDEX(注音符號字典編碼!$D$6:$D$57, MATCH(TRUE, EXACT(AW$17, 注音符號字典編碼!$C$6:$C$57), 0))</f>
        <v>ing</v>
      </c>
      <c r="AX19" s="444" cm="1">
        <f t="array" ref="AX19" xml:space="preserve"> INDEX(注音符號字典編碼!$D$6:$D$57, MATCH(TRUE, EXACT(AX$17, 注音符號字典編碼!$C$6:$C$57), 0))</f>
        <v>1</v>
      </c>
      <c r="AY19" s="444" cm="1">
        <f t="array" aca="1" ref="AY19" ca="1" xml:space="preserve"> INDEX(注音符號字典編碼!$D$6:$D$57, MATCH(TRUE, EXACT(AY$17, 注音符號字典編碼!$C$6:$C$57), 0))</f>
        <v>2</v>
      </c>
      <c r="AZ19" s="444" cm="1">
        <f t="array" aca="1" ref="AZ19" ca="1" xml:space="preserve"> INDEX(注音符號字典編碼!$D$6:$D$57, MATCH(TRUE, EXACT(AZ$17, 注音符號字典編碼!$C$6:$C$57), 0))</f>
        <v>3</v>
      </c>
      <c r="BA19" s="444" cm="1">
        <f t="array" aca="1" ref="BA19" ca="1" xml:space="preserve"> INDEX(注音符號字典編碼!$D$6:$D$57, MATCH(TRUE, EXACT(BA$17, 注音符號字典編碼!$C$6:$C$57), 0))</f>
        <v>5</v>
      </c>
      <c r="BB19" s="444" cm="1">
        <f t="array" aca="1" ref="BB19" ca="1" xml:space="preserve"> INDEX(注音符號字典編碼!$D$6:$D$57, MATCH(TRUE, EXACT(BB$17, 注音符號字典編碼!$C$6:$C$57), 0))</f>
        <v>7</v>
      </c>
      <c r="BC19" s="444" cm="1">
        <f t="array" aca="1" ref="BC19" ca="1" xml:space="preserve"> INDEX(注音符號字典編碼!$D$6:$D$57, MATCH(TRUE, EXACT(BC$17, 注音符號字典編碼!$C$6:$C$57), 0))</f>
        <v>8</v>
      </c>
      <c r="BD19" s="555" t="str">
        <f t="shared" ca="1" si="10"/>
        <v/>
      </c>
      <c r="BE19" s="555" t="str">
        <f t="shared" ca="1" si="10"/>
        <v/>
      </c>
      <c r="BF19" s="555" t="str">
        <f t="shared" ca="1" si="10"/>
        <v/>
      </c>
      <c r="BG19" s="555" t="str">
        <f t="shared" ca="1" si="10"/>
        <v/>
      </c>
      <c r="BI19" s="411">
        <v>16</v>
      </c>
      <c r="BJ19" s="543" t="str" cm="1">
        <f t="array" aca="1" ref="BJ19" ca="1" xml:space="preserve"> INDIRECT( ADDRESS( ROW($C$17), COLUMN($C$17) +$BI19) )</f>
        <v>ㄙ</v>
      </c>
      <c r="BK19" s="409" t="str" cm="1">
        <f t="array" aca="1" ref="BK19" ca="1" xml:space="preserve"> INDIRECT( ADDRESS( ROW($C$19), COLUMN($C$19) +$BI19) )</f>
        <v>s</v>
      </c>
      <c r="BL19" s="408" t="str" cm="1">
        <f t="array" aca="1" ref="BL19" ca="1" xml:space="preserve"> INDIRECT( ADDRESS( ROW($C$18), COLUMN($C$18) +$BI19) )</f>
        <v>s</v>
      </c>
      <c r="BM19" s="407" t="str" cm="1">
        <f t="array" aca="1" ref="BM19" ca="1" xml:space="preserve"> INDIRECT( ADDRESS( ROW($C$16), COLUMN($C$16) +$BI19) )</f>
        <v>n</v>
      </c>
      <c r="BO19" s="517" t="str">
        <f t="shared" ca="1" si="0"/>
        <v>"n": { commit: "ㄙ" }</v>
      </c>
      <c r="BQ19" s="161">
        <v>16</v>
      </c>
      <c r="BR19" s="294" t="s">
        <v>173</v>
      </c>
      <c r="BS19" s="294">
        <v>16</v>
      </c>
      <c r="BT19" s="529" t="s">
        <v>83</v>
      </c>
      <c r="BU19" s="512">
        <v>16</v>
      </c>
      <c r="BV19" s="512" t="s">
        <v>71</v>
      </c>
      <c r="BX19" s="536">
        <f t="shared" si="1"/>
        <v>16</v>
      </c>
      <c r="BY19" s="537" t="s">
        <v>71</v>
      </c>
      <c r="BZ19" s="224" t="s">
        <v>73</v>
      </c>
      <c r="CA19" s="225" t="s">
        <v>299</v>
      </c>
      <c r="CD19" s="411">
        <f t="shared" si="2"/>
        <v>16</v>
      </c>
      <c r="CE19" s="543" t="s">
        <v>71</v>
      </c>
      <c r="CF19" s="409" t="s">
        <v>924</v>
      </c>
      <c r="CG19" s="408" t="s">
        <v>83</v>
      </c>
    </row>
    <row r="20" spans="1:85" ht="31.5" customHeight="1">
      <c r="A20" s="434"/>
      <c r="B20" s="434"/>
      <c r="C20" s="434"/>
      <c r="D20" s="434"/>
      <c r="E20" s="434"/>
      <c r="F20" s="434"/>
      <c r="G20" s="434"/>
      <c r="H20" s="434"/>
      <c r="I20" s="434"/>
      <c r="J20" s="434"/>
      <c r="K20" s="434"/>
      <c r="L20" s="434"/>
      <c r="M20" s="434"/>
      <c r="N20" s="434"/>
      <c r="O20" s="434"/>
      <c r="P20" s="434"/>
      <c r="Q20" s="434"/>
      <c r="R20" s="434"/>
      <c r="S20" s="434"/>
      <c r="T20" s="434"/>
      <c r="U20" s="434"/>
      <c r="V20" s="434"/>
      <c r="W20" s="434"/>
      <c r="X20" s="434"/>
      <c r="Y20" s="434"/>
      <c r="Z20" s="434"/>
      <c r="AA20" s="434"/>
      <c r="AB20" s="434"/>
      <c r="AC20" s="434"/>
      <c r="AD20" s="434"/>
      <c r="AE20" s="434"/>
      <c r="AF20" s="434"/>
      <c r="AG20" s="434"/>
      <c r="AH20" s="434"/>
      <c r="AI20" s="434"/>
      <c r="AJ20" s="434"/>
      <c r="AK20" s="434"/>
      <c r="AL20" s="434"/>
      <c r="AM20" s="434"/>
      <c r="AN20" s="434"/>
      <c r="AO20" s="434"/>
      <c r="AP20" s="434"/>
      <c r="AQ20" s="434"/>
      <c r="AR20" s="435"/>
      <c r="AS20" s="435"/>
      <c r="AT20" s="434"/>
      <c r="AU20" s="434"/>
      <c r="AV20" s="434"/>
      <c r="BI20" s="411">
        <v>17</v>
      </c>
      <c r="BJ20" s="543" t="str" cm="1">
        <f t="array" aca="1" ref="BJ20" ca="1" xml:space="preserve"> INDIRECT( ADDRESS( ROW($C$17), COLUMN($C$17) +$BI20) )</f>
        <v>ㄏ</v>
      </c>
      <c r="BK20" s="409" t="str" cm="1">
        <f t="array" aca="1" ref="BK20" ca="1" xml:space="preserve"> INDIRECT( ADDRESS( ROW($C$19), COLUMN($C$19) +$BI20) )</f>
        <v>h</v>
      </c>
      <c r="BL20" s="408" t="str" cm="1">
        <f t="array" aca="1" ref="BL20" ca="1" xml:space="preserve"> INDIRECT( ADDRESS( ROW($C$18), COLUMN($C$18) +$BI20) )</f>
        <v>h</v>
      </c>
      <c r="BM20" s="407" t="str" cm="1">
        <f t="array" aca="1" ref="BM20" ca="1" xml:space="preserve"> INDIRECT( ADDRESS( ROW($C$16), COLUMN($C$16) +$BI20) )</f>
        <v>c</v>
      </c>
      <c r="BO20" s="517" t="str">
        <f t="shared" ca="1" si="0"/>
        <v>"c": { commit: "ㄏ" }</v>
      </c>
      <c r="BQ20" s="161">
        <v>17</v>
      </c>
      <c r="BR20" s="294" t="s">
        <v>174</v>
      </c>
      <c r="BS20" s="294">
        <v>17</v>
      </c>
      <c r="BT20" s="529" t="s">
        <v>56</v>
      </c>
      <c r="BU20" s="512">
        <v>17</v>
      </c>
      <c r="BV20" s="512" t="s">
        <v>96</v>
      </c>
      <c r="BX20" s="536">
        <f t="shared" si="1"/>
        <v>17</v>
      </c>
      <c r="BY20" s="537" t="s">
        <v>96</v>
      </c>
      <c r="BZ20" s="224" t="s">
        <v>211</v>
      </c>
      <c r="CA20" s="225" t="s">
        <v>563</v>
      </c>
      <c r="CD20" s="411">
        <f t="shared" si="2"/>
        <v>17</v>
      </c>
      <c r="CE20" s="543" t="s">
        <v>96</v>
      </c>
      <c r="CF20" s="409" t="s">
        <v>556</v>
      </c>
      <c r="CG20" s="408" t="s">
        <v>56</v>
      </c>
    </row>
    <row r="21" spans="1:85" s="412" customFormat="1" ht="31.5" customHeight="1">
      <c r="B21" s="433" t="s">
        <v>262</v>
      </c>
      <c r="C21" s="432"/>
      <c r="D21" s="432"/>
      <c r="E21" s="432"/>
      <c r="F21" s="432"/>
      <c r="G21" s="432"/>
      <c r="H21" s="432"/>
      <c r="I21" s="432"/>
      <c r="J21" s="432"/>
      <c r="K21" s="432"/>
      <c r="L21" s="432"/>
      <c r="M21" s="432"/>
      <c r="N21" s="432"/>
      <c r="O21" s="432"/>
      <c r="P21" s="432"/>
      <c r="Q21" s="432"/>
      <c r="R21" s="432"/>
      <c r="S21" s="432"/>
      <c r="T21" s="432"/>
      <c r="U21" s="432"/>
      <c r="V21" s="432"/>
      <c r="W21" s="432"/>
      <c r="X21" s="432"/>
      <c r="Y21" s="432"/>
      <c r="Z21" s="432"/>
      <c r="AA21" s="432"/>
      <c r="AB21" s="432"/>
      <c r="AC21" s="432"/>
      <c r="AD21" s="432"/>
      <c r="AE21" s="432"/>
      <c r="AF21" s="432"/>
      <c r="AG21" s="432"/>
      <c r="AH21" s="432"/>
      <c r="BI21" s="411">
        <v>18</v>
      </c>
      <c r="BJ21" s="543" t="str" cm="1">
        <f t="array" aca="1" ref="BJ21" ca="1" xml:space="preserve"> INDIRECT( ADDRESS( ROW($C$17), COLUMN($C$17) +$BI21) )</f>
        <v>ㄐ</v>
      </c>
      <c r="BK21" s="409" t="str" cm="1">
        <f t="array" aca="1" ref="BK21" ca="1" xml:space="preserve"> INDIRECT( ADDRESS( ROW($C$19), COLUMN($C$19) +$BI21) )</f>
        <v>ci</v>
      </c>
      <c r="BL21" s="408" t="str" cm="1">
        <f t="array" aca="1" ref="BL21" ca="1" xml:space="preserve"> INDIRECT( ADDRESS( ROW($C$18), COLUMN($C$18) +$BI21) )</f>
        <v>Z</v>
      </c>
      <c r="BM21" s="407" t="str" cm="1">
        <f t="array" aca="1" ref="BM21" ca="1" xml:space="preserve"> INDIRECT( ADDRESS( ROW($C$16), COLUMN($C$16) +$BI21) )</f>
        <v>r</v>
      </c>
      <c r="BO21" s="517" t="str">
        <f t="shared" ca="1" si="0"/>
        <v>"r": { commit: "ㄐ" }</v>
      </c>
      <c r="BQ21" s="161">
        <v>18</v>
      </c>
      <c r="BR21" s="294" t="s">
        <v>175</v>
      </c>
      <c r="BS21" s="294">
        <v>18</v>
      </c>
      <c r="BT21" s="529" t="s">
        <v>165</v>
      </c>
      <c r="BU21" s="512">
        <v>18</v>
      </c>
      <c r="BV21" s="512" t="s">
        <v>46</v>
      </c>
      <c r="BX21" s="536">
        <f t="shared" si="1"/>
        <v>18</v>
      </c>
      <c r="BY21" s="537" t="s">
        <v>46</v>
      </c>
      <c r="BZ21" s="224" t="s">
        <v>211</v>
      </c>
      <c r="CA21" s="225" t="s">
        <v>295</v>
      </c>
      <c r="CD21" s="411">
        <f t="shared" si="2"/>
        <v>18</v>
      </c>
      <c r="CE21" s="543" t="s">
        <v>46</v>
      </c>
      <c r="CF21" s="409" t="s">
        <v>166</v>
      </c>
      <c r="CG21" s="408" t="s">
        <v>165</v>
      </c>
    </row>
    <row r="22" spans="1:85" s="412" customFormat="1" ht="31.5" customHeight="1">
      <c r="B22" s="422" t="s">
        <v>260</v>
      </c>
      <c r="C22" s="422"/>
      <c r="D22" s="422"/>
      <c r="E22" s="422"/>
      <c r="F22" s="422"/>
      <c r="G22" s="422"/>
      <c r="H22" s="422"/>
      <c r="I22" s="422"/>
      <c r="J22" s="422"/>
      <c r="K22" s="422"/>
      <c r="L22" s="422"/>
      <c r="M22" s="422"/>
      <c r="N22" s="422"/>
      <c r="O22" s="422"/>
      <c r="P22" s="422"/>
      <c r="Q22" s="422"/>
      <c r="R22" s="422"/>
      <c r="S22" s="422"/>
      <c r="T22" s="423"/>
      <c r="U22" s="422"/>
      <c r="V22" s="422"/>
      <c r="W22" s="422"/>
      <c r="X22" s="422"/>
      <c r="Y22" s="422"/>
      <c r="Z22" s="422"/>
      <c r="AA22" s="422"/>
      <c r="AB22" s="422"/>
      <c r="AC22" s="422"/>
      <c r="AD22" s="422"/>
      <c r="AE22" s="422"/>
      <c r="AF22" s="422"/>
      <c r="AG22" s="422"/>
      <c r="AH22" s="422"/>
      <c r="AI22" s="413"/>
      <c r="AJ22" s="413"/>
      <c r="AK22" s="413"/>
      <c r="AL22" s="413"/>
      <c r="AM22" s="413"/>
      <c r="AN22" s="413"/>
      <c r="AO22" s="413"/>
      <c r="AP22" s="413"/>
      <c r="AQ22" s="413"/>
      <c r="AR22" s="413"/>
      <c r="AS22" s="413"/>
      <c r="AT22" s="413"/>
      <c r="AU22" s="413"/>
      <c r="AV22" s="413"/>
      <c r="AW22" s="413"/>
      <c r="AX22" s="413"/>
      <c r="AY22" s="413"/>
      <c r="AZ22" s="413"/>
      <c r="BA22" s="413"/>
      <c r="BB22" s="413"/>
      <c r="BC22" s="413"/>
      <c r="BD22" s="413"/>
      <c r="BE22" s="413"/>
      <c r="BF22" s="413"/>
      <c r="BG22" s="413"/>
      <c r="BH22" s="413"/>
      <c r="BI22" s="411">
        <v>19</v>
      </c>
      <c r="BJ22" s="543" t="str" cm="1">
        <f t="array" aca="1" ref="BJ22" ca="1" xml:space="preserve"> INDIRECT( ADDRESS( ROW($C$17), COLUMN($C$17) +$BI22) )</f>
        <v>ㆢ</v>
      </c>
      <c r="BK22" s="409" t="str" cm="1">
        <f t="array" aca="1" ref="BK22" ca="1" xml:space="preserve"> INDIRECT( ADDRESS( ROW($C$19), COLUMN($C$19) +$BI22) )</f>
        <v>ji</v>
      </c>
      <c r="BL22" s="408" t="str" cm="1">
        <f t="array" aca="1" ref="BL22" ca="1" xml:space="preserve"> INDIRECT( ADDRESS( ROW($C$18), COLUMN($C$18) +$BI22) )</f>
        <v>J</v>
      </c>
      <c r="BM22" s="407" t="str" cm="1">
        <f t="array" aca="1" ref="BM22" ca="1" xml:space="preserve"> INDIRECT( ADDRESS( ROW($C$16), COLUMN($C$16) +$BI22) )</f>
        <v>R</v>
      </c>
      <c r="BO22" s="517" t="str">
        <f t="shared" ca="1" si="0"/>
        <v>"R": { commit: "ㆢ" }</v>
      </c>
      <c r="BQ22" s="161">
        <v>19</v>
      </c>
      <c r="BR22" s="294" t="s">
        <v>29</v>
      </c>
      <c r="BS22" s="294">
        <v>19</v>
      </c>
      <c r="BT22" s="529" t="s">
        <v>97</v>
      </c>
      <c r="BU22" s="512">
        <v>19</v>
      </c>
      <c r="BV22" s="515" t="s">
        <v>106</v>
      </c>
      <c r="BX22" s="536">
        <f t="shared" si="1"/>
        <v>19</v>
      </c>
      <c r="BY22" s="537" t="s">
        <v>46</v>
      </c>
      <c r="BZ22" s="224" t="s">
        <v>166</v>
      </c>
      <c r="CA22" s="225" t="s">
        <v>297</v>
      </c>
      <c r="CD22" s="411">
        <f t="shared" si="2"/>
        <v>19</v>
      </c>
      <c r="CE22" s="543" t="s">
        <v>106</v>
      </c>
      <c r="CF22" s="409" t="s">
        <v>97</v>
      </c>
      <c r="CG22" s="408" t="s">
        <v>97</v>
      </c>
    </row>
    <row r="23" spans="1:85" s="412" customFormat="1" ht="31.5" customHeight="1">
      <c r="B23" s="431" t="s">
        <v>873</v>
      </c>
      <c r="C23" s="429"/>
      <c r="D23" s="430">
        <f ca="1" xml:space="preserve"> LEN(E23)</f>
        <v>52</v>
      </c>
      <c r="E23" s="430" t="str">
        <f ca="1" xml:space="preserve"> _xlfn.CONCAT(D18:BC18)</f>
        <v>pbPmtTnlkgKwzjcshZJCSiIuUaAOQoeEwMNr}{yYxX@][R123570</v>
      </c>
      <c r="F23" s="429"/>
      <c r="G23" s="429"/>
      <c r="H23" s="429"/>
      <c r="I23" s="429"/>
      <c r="J23" s="429"/>
      <c r="K23" s="429"/>
      <c r="L23" s="429"/>
      <c r="M23" s="429"/>
      <c r="N23" s="429"/>
      <c r="O23" s="429"/>
      <c r="P23" s="429"/>
      <c r="Q23" s="429"/>
      <c r="R23" s="429"/>
      <c r="S23" s="429"/>
      <c r="T23" s="429"/>
      <c r="U23" s="429"/>
      <c r="V23" s="429"/>
      <c r="W23" s="429"/>
      <c r="X23" s="429"/>
      <c r="Y23" s="429"/>
      <c r="Z23" s="429"/>
      <c r="AA23" s="429"/>
      <c r="AB23" s="429"/>
      <c r="AC23" s="429"/>
      <c r="AD23" s="429"/>
      <c r="AE23" s="429"/>
      <c r="AF23" s="429"/>
      <c r="AG23" s="429"/>
      <c r="AH23" s="429"/>
      <c r="AI23" s="429"/>
      <c r="AJ23" s="429"/>
      <c r="AM23" s="425"/>
      <c r="AN23" s="413"/>
      <c r="AO23" s="413"/>
      <c r="AP23" s="413" t="str">
        <f ca="1" xml:space="preserve"> MID(E23,AO24,1)</f>
        <v>0</v>
      </c>
      <c r="AQ23" s="413"/>
      <c r="AR23" s="413"/>
      <c r="AS23" s="413"/>
      <c r="AT23" s="413"/>
      <c r="AU23" s="413"/>
      <c r="AV23" s="413"/>
      <c r="AW23" s="413"/>
      <c r="AX23" s="413"/>
      <c r="AY23" s="413"/>
      <c r="AZ23" s="413"/>
      <c r="BA23" s="413"/>
      <c r="BB23" s="413"/>
      <c r="BC23" s="413"/>
      <c r="BD23" s="413"/>
      <c r="BE23" s="413"/>
      <c r="BF23" s="413"/>
      <c r="BG23" s="413"/>
      <c r="BH23" s="413"/>
      <c r="BI23" s="411">
        <v>20</v>
      </c>
      <c r="BJ23" s="543" t="str" cm="1">
        <f t="array" aca="1" ref="BJ23" ca="1" xml:space="preserve"> INDIRECT( ADDRESS( ROW($C$17), COLUMN($C$17) +$BI23) )</f>
        <v>ㄑ</v>
      </c>
      <c r="BK23" s="409" t="str" cm="1">
        <f t="array" aca="1" ref="BK23" ca="1" xml:space="preserve"> INDIRECT( ADDRESS( ROW($C$19), COLUMN($C$19) +$BI23) )</f>
        <v>chi</v>
      </c>
      <c r="BL23" s="408" t="str" cm="1">
        <f t="array" aca="1" ref="BL23" ca="1" xml:space="preserve"> INDIRECT( ADDRESS( ROW($C$18), COLUMN($C$18) +$BI23) )</f>
        <v>C</v>
      </c>
      <c r="BM23" s="407" t="str" cm="1">
        <f t="array" aca="1" ref="BM23" ca="1" xml:space="preserve"> INDIRECT( ADDRESS( ROW($C$16), COLUMN($C$16) +$BI23) )</f>
        <v>f</v>
      </c>
      <c r="BO23" s="517" t="str">
        <f t="shared" ca="1" si="0"/>
        <v>"f": { commit: "ㄑ" }</v>
      </c>
      <c r="BQ23" s="161">
        <v>20</v>
      </c>
      <c r="BR23" s="294" t="s">
        <v>95</v>
      </c>
      <c r="BS23" s="294">
        <v>20</v>
      </c>
      <c r="BT23" s="529" t="s">
        <v>166</v>
      </c>
      <c r="BU23" s="512">
        <v>20</v>
      </c>
      <c r="BV23" s="512" t="s">
        <v>74</v>
      </c>
      <c r="BX23" s="536">
        <f t="shared" si="1"/>
        <v>20</v>
      </c>
      <c r="BY23" s="537" t="s">
        <v>74</v>
      </c>
      <c r="BZ23" s="224" t="s">
        <v>708</v>
      </c>
      <c r="CA23" s="225" t="s">
        <v>296</v>
      </c>
      <c r="CD23" s="411">
        <f t="shared" si="2"/>
        <v>20</v>
      </c>
      <c r="CE23" s="543" t="s">
        <v>74</v>
      </c>
      <c r="CF23" s="409" t="s">
        <v>708</v>
      </c>
      <c r="CG23" s="408" t="s">
        <v>166</v>
      </c>
    </row>
    <row r="24" spans="1:85" s="412" customFormat="1" ht="31.5" customHeight="1">
      <c r="B24" s="428" t="s">
        <v>798</v>
      </c>
      <c r="C24" s="426"/>
      <c r="D24" s="427">
        <f ca="1" xml:space="preserve"> LEN(E24)</f>
        <v>52</v>
      </c>
      <c r="E24" s="427" t="str">
        <f ca="1" xml:space="preserve"> _xlfn.CONCAT(D16:BC16)</f>
        <v>1!qa2wsxeEdgyYhncrRfvuUjJ8*iIk,&lt;omp/&gt;.9(lL0:;? 43657</v>
      </c>
      <c r="F24" s="426"/>
      <c r="G24" s="426"/>
      <c r="H24" s="426"/>
      <c r="I24" s="426"/>
      <c r="J24" s="426"/>
      <c r="K24" s="426"/>
      <c r="L24" s="426"/>
      <c r="M24" s="426"/>
      <c r="N24" s="426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M24" s="425">
        <v>7</v>
      </c>
      <c r="AN24" s="413"/>
      <c r="AO24" s="413">
        <f ca="1" xml:space="preserve"> FIND(AM24,  E24)</f>
        <v>52</v>
      </c>
      <c r="AP24" s="413"/>
      <c r="AQ24" s="413"/>
      <c r="AR24" s="413"/>
      <c r="AS24" s="413"/>
      <c r="AT24" s="413"/>
      <c r="AU24" s="413"/>
      <c r="AV24" s="413"/>
      <c r="AW24" s="413"/>
      <c r="AX24" s="413"/>
      <c r="AY24" s="413"/>
      <c r="AZ24" s="413"/>
      <c r="BA24" s="413"/>
      <c r="BB24" s="413"/>
      <c r="BC24" s="413"/>
      <c r="BD24" s="413"/>
      <c r="BE24" s="413"/>
      <c r="BF24" s="413"/>
      <c r="BG24" s="413"/>
      <c r="BH24" s="413"/>
      <c r="BI24" s="411">
        <v>21</v>
      </c>
      <c r="BJ24" s="543" t="str" cm="1">
        <f t="array" aca="1" ref="BJ24" ca="1" xml:space="preserve"> INDIRECT( ADDRESS( ROW($C$17), COLUMN($C$17) +$BI24) )</f>
        <v>ㄒ</v>
      </c>
      <c r="BK24" s="409" t="str" cm="1">
        <f t="array" aca="1" ref="BK24" ca="1" xml:space="preserve"> INDIRECT( ADDRESS( ROW($C$19), COLUMN($C$19) +$BI24) )</f>
        <v>si</v>
      </c>
      <c r="BL24" s="408" t="str" cm="1">
        <f t="array" aca="1" ref="BL24" ca="1" xml:space="preserve"> INDIRECT( ADDRESS( ROW($C$18), COLUMN($C$18) +$BI24) )</f>
        <v>S</v>
      </c>
      <c r="BM24" s="407" t="str" cm="1">
        <f t="array" aca="1" ref="BM24" ca="1" xml:space="preserve"> INDIRECT( ADDRESS( ROW($C$16), COLUMN($C$16) +$BI24) )</f>
        <v>v</v>
      </c>
      <c r="BO24" s="517" t="str">
        <f t="shared" ca="1" si="0"/>
        <v>"v": { commit: "ㄒ" }</v>
      </c>
      <c r="BQ24" s="161">
        <v>21</v>
      </c>
      <c r="BR24" s="294" t="s">
        <v>68</v>
      </c>
      <c r="BS24" s="294">
        <v>21</v>
      </c>
      <c r="BT24" s="529" t="s">
        <v>99</v>
      </c>
      <c r="BU24" s="512">
        <v>21</v>
      </c>
      <c r="BV24" s="512" t="s">
        <v>98</v>
      </c>
      <c r="BX24" s="536">
        <f t="shared" si="1"/>
        <v>21</v>
      </c>
      <c r="BY24" s="537" t="s">
        <v>98</v>
      </c>
      <c r="BZ24" s="224" t="s">
        <v>99</v>
      </c>
      <c r="CA24" s="225" t="s">
        <v>294</v>
      </c>
      <c r="CD24" s="411">
        <f t="shared" si="2"/>
        <v>21</v>
      </c>
      <c r="CE24" s="543" t="s">
        <v>98</v>
      </c>
      <c r="CF24" s="409" t="s">
        <v>99</v>
      </c>
      <c r="CG24" s="408" t="s">
        <v>99</v>
      </c>
    </row>
    <row r="25" spans="1:85" s="412" customFormat="1" ht="31.5" customHeight="1">
      <c r="B25" s="416" t="str">
        <f ca="1" xml:space="preserve"> "- xlit|" &amp; E23 &amp; "|" &amp; E24 &amp; "|"</f>
        <v>- xlit|pbPmtTnlkgKwzjcshZJCSiIuUaAOQoeEwMNr}{yYxX@][R123570|1!qa2wsxeEdgyYhncrRfvuUjJ8*iIk,&lt;omp/&gt;.9(lL0:;? 43657|</v>
      </c>
      <c r="C25" s="414"/>
      <c r="D25" s="414"/>
      <c r="E25" s="414"/>
      <c r="F25" s="414"/>
      <c r="G25" s="414"/>
      <c r="H25" s="414"/>
      <c r="I25" s="414"/>
      <c r="J25" s="414"/>
      <c r="K25" s="414"/>
      <c r="L25" s="414"/>
      <c r="M25" s="414"/>
      <c r="N25" s="414"/>
      <c r="O25" s="414"/>
      <c r="P25" s="414"/>
      <c r="Q25" s="414"/>
      <c r="R25" s="414"/>
      <c r="S25" s="414"/>
      <c r="T25" s="414"/>
      <c r="U25" s="414"/>
      <c r="V25" s="414"/>
      <c r="W25" s="414"/>
      <c r="X25" s="414"/>
      <c r="Y25" s="414"/>
      <c r="Z25" s="414"/>
      <c r="AA25" s="414"/>
      <c r="AB25" s="414"/>
      <c r="AC25" s="414"/>
      <c r="AD25" s="414"/>
      <c r="AE25" s="414"/>
      <c r="AF25" s="414"/>
      <c r="AG25" s="414"/>
      <c r="AH25" s="414"/>
      <c r="AI25" s="414"/>
      <c r="AJ25" s="414"/>
      <c r="AK25" s="413"/>
      <c r="AL25" s="413"/>
      <c r="AM25" s="413"/>
      <c r="AN25" s="413"/>
      <c r="AO25" s="413"/>
      <c r="AP25" s="413"/>
      <c r="AQ25" s="413"/>
      <c r="AR25" s="413"/>
      <c r="AS25" s="413"/>
      <c r="AT25" s="413"/>
      <c r="AU25" s="413"/>
      <c r="AV25" s="413"/>
      <c r="AW25" s="413"/>
      <c r="AX25" s="413"/>
      <c r="AY25" s="413"/>
      <c r="AZ25" s="413"/>
      <c r="BA25" s="413"/>
      <c r="BB25" s="413"/>
      <c r="BC25" s="413"/>
      <c r="BD25" s="413"/>
      <c r="BE25" s="413"/>
      <c r="BF25" s="413"/>
      <c r="BG25" s="413"/>
      <c r="BH25" s="413"/>
      <c r="BI25" s="411">
        <v>22</v>
      </c>
      <c r="BJ25" s="543" t="str" cm="1">
        <f t="array" aca="1" ref="BJ25" ca="1" xml:space="preserve"> INDIRECT( ADDRESS( ROW($C$17), COLUMN($C$17) +$BI25) )</f>
        <v>ㄧ</v>
      </c>
      <c r="BK25" s="409" t="str" cm="1">
        <f t="array" aca="1" ref="BK25" ca="1" xml:space="preserve"> INDIRECT( ADDRESS( ROW($C$19), COLUMN($C$19) +$BI25) )</f>
        <v>i</v>
      </c>
      <c r="BL25" s="408" t="str" cm="1">
        <f t="array" aca="1" ref="BL25" ca="1" xml:space="preserve"> INDIRECT( ADDRESS( ROW($C$18), COLUMN($C$18) +$BI25) )</f>
        <v>i</v>
      </c>
      <c r="BM25" s="407" t="str" cm="1">
        <f t="array" aca="1" ref="BM25" ca="1" xml:space="preserve"> INDIRECT( ADDRESS( ROW($C$16), COLUMN($C$16) +$BI25) )</f>
        <v>u</v>
      </c>
      <c r="BO25" s="517" t="str">
        <f t="shared" ca="1" si="0"/>
        <v>"u": { commit: "ㄧ" }</v>
      </c>
      <c r="BQ25" s="161">
        <v>22</v>
      </c>
      <c r="BR25" s="294" t="s">
        <v>176</v>
      </c>
      <c r="BS25" s="294">
        <v>22</v>
      </c>
      <c r="BT25" s="529" t="s">
        <v>21</v>
      </c>
      <c r="BU25" s="512">
        <v>22</v>
      </c>
      <c r="BV25" s="512" t="s">
        <v>20</v>
      </c>
      <c r="BX25" s="536">
        <f t="shared" si="1"/>
        <v>22</v>
      </c>
      <c r="BY25" s="537" t="s">
        <v>20</v>
      </c>
      <c r="BZ25" s="226" t="s">
        <v>49</v>
      </c>
      <c r="CA25" s="225" t="s">
        <v>276</v>
      </c>
      <c r="CD25" s="411">
        <f t="shared" si="2"/>
        <v>22</v>
      </c>
      <c r="CE25" s="543" t="s">
        <v>48</v>
      </c>
      <c r="CF25" s="409" t="s">
        <v>49</v>
      </c>
      <c r="CG25" s="408" t="s">
        <v>49</v>
      </c>
    </row>
    <row r="26" spans="1:85" s="412" customFormat="1" ht="31.5" customHeight="1">
      <c r="AH26" s="413"/>
      <c r="AI26" s="413"/>
      <c r="AJ26" s="413"/>
      <c r="AK26" s="413"/>
      <c r="AL26" s="413"/>
      <c r="AM26" s="413"/>
      <c r="AN26" s="413"/>
      <c r="AO26" s="413"/>
      <c r="AP26" s="413"/>
      <c r="AQ26" s="413"/>
      <c r="AR26" s="413"/>
      <c r="AS26" s="413"/>
      <c r="AT26" s="413"/>
      <c r="AU26" s="413"/>
      <c r="AV26" s="413"/>
      <c r="AW26" s="413"/>
      <c r="AX26" s="413"/>
      <c r="AY26" s="413"/>
      <c r="AZ26" s="413"/>
      <c r="BA26" s="413"/>
      <c r="BB26" s="413"/>
      <c r="BC26" s="413"/>
      <c r="BD26" s="413"/>
      <c r="BE26" s="413"/>
      <c r="BF26" s="413"/>
      <c r="BG26" s="413"/>
      <c r="BH26" s="413"/>
      <c r="BI26" s="411">
        <v>23</v>
      </c>
      <c r="BJ26" s="543" t="str" cm="1">
        <f t="array" aca="1" ref="BJ26" ca="1" xml:space="preserve"> INDIRECT( ADDRESS( ROW($C$17), COLUMN($C$17) +$BI26) )</f>
        <v>ㆪ</v>
      </c>
      <c r="BK26" s="409" t="str" cm="1">
        <f t="array" aca="1" ref="BK26" ca="1" xml:space="preserve"> INDIRECT( ADDRESS( ROW($C$19), COLUMN($C$19) +$BI26) )</f>
        <v>iN</v>
      </c>
      <c r="BL26" s="408" t="str" cm="1">
        <f t="array" aca="1" ref="BL26" ca="1" xml:space="preserve"> INDIRECT( ADDRESS( ROW($C$18), COLUMN($C$18) +$BI26) )</f>
        <v>I</v>
      </c>
      <c r="BM26" s="407" t="str" cm="1">
        <f t="array" aca="1" ref="BM26" ca="1" xml:space="preserve"> INDIRECT( ADDRESS( ROW($C$16), COLUMN($C$16) +$BI26) )</f>
        <v>U</v>
      </c>
      <c r="BO26" s="517" t="str">
        <f t="shared" ca="1" si="0"/>
        <v>"U": { commit: "ㆪ" }</v>
      </c>
      <c r="BQ26" s="161">
        <v>23</v>
      </c>
      <c r="BR26" s="294" t="s">
        <v>177</v>
      </c>
      <c r="BS26" s="294">
        <v>23</v>
      </c>
      <c r="BT26" s="529" t="s">
        <v>709</v>
      </c>
      <c r="BU26" s="512">
        <v>23</v>
      </c>
      <c r="BV26" s="515" t="s">
        <v>107</v>
      </c>
      <c r="BX26" s="536">
        <f t="shared" si="1"/>
        <v>23</v>
      </c>
      <c r="BY26" s="537" t="s">
        <v>8</v>
      </c>
      <c r="BZ26" s="226" t="s">
        <v>77</v>
      </c>
      <c r="CA26" s="225" t="s">
        <v>274</v>
      </c>
      <c r="CD26" s="411">
        <f t="shared" si="2"/>
        <v>23</v>
      </c>
      <c r="CE26" s="543" t="s">
        <v>116</v>
      </c>
      <c r="CF26" s="409" t="s">
        <v>507</v>
      </c>
      <c r="CG26" s="408" t="s">
        <v>31</v>
      </c>
    </row>
    <row r="27" spans="1:85" s="412" customFormat="1" ht="31.5" customHeight="1">
      <c r="B27" s="424" t="s">
        <v>263</v>
      </c>
      <c r="C27" s="422"/>
      <c r="D27" s="422"/>
      <c r="E27" s="422"/>
      <c r="F27" s="422"/>
      <c r="G27" s="422"/>
      <c r="H27" s="422"/>
      <c r="I27" s="422"/>
      <c r="J27" s="422"/>
      <c r="K27" s="422"/>
      <c r="L27" s="422"/>
      <c r="M27" s="422"/>
      <c r="N27" s="422"/>
      <c r="O27" s="422"/>
      <c r="P27" s="422"/>
      <c r="Q27" s="422"/>
      <c r="R27" s="422"/>
      <c r="S27" s="422"/>
      <c r="T27" s="422"/>
      <c r="U27" s="422"/>
      <c r="V27" s="422"/>
      <c r="W27" s="422"/>
      <c r="X27" s="422"/>
      <c r="Y27" s="422"/>
      <c r="Z27" s="422"/>
      <c r="AA27" s="422"/>
      <c r="AB27" s="422"/>
      <c r="AC27" s="422"/>
      <c r="AD27" s="422"/>
      <c r="AE27" s="422"/>
      <c r="AF27" s="422"/>
      <c r="AG27" s="422"/>
      <c r="AH27" s="413"/>
      <c r="AI27" s="413"/>
      <c r="AJ27" s="413"/>
      <c r="AK27" s="413"/>
      <c r="AL27" s="413"/>
      <c r="AM27" s="413"/>
      <c r="AN27" s="413"/>
      <c r="AO27" s="413"/>
      <c r="AP27" s="413"/>
      <c r="AQ27" s="413"/>
      <c r="AR27" s="413"/>
      <c r="AS27" s="413"/>
      <c r="AT27" s="413"/>
      <c r="AU27" s="413"/>
      <c r="AV27" s="413"/>
      <c r="AW27" s="413"/>
      <c r="AX27" s="413"/>
      <c r="AY27" s="413"/>
      <c r="AZ27" s="413"/>
      <c r="BA27" s="413"/>
      <c r="BB27" s="413"/>
      <c r="BC27" s="413"/>
      <c r="BD27" s="413"/>
      <c r="BE27" s="413"/>
      <c r="BF27" s="413"/>
      <c r="BG27" s="413"/>
      <c r="BH27" s="413"/>
      <c r="BI27" s="411">
        <v>24</v>
      </c>
      <c r="BJ27" s="543" t="str" cm="1">
        <f t="array" aca="1" ref="BJ27" ca="1" xml:space="preserve"> INDIRECT( ADDRESS( ROW($C$17), COLUMN($C$17) +$BI27) )</f>
        <v>ㄨ</v>
      </c>
      <c r="BK27" s="409" t="str" cm="1">
        <f t="array" aca="1" ref="BK27" ca="1" xml:space="preserve"> INDIRECT( ADDRESS( ROW($C$19), COLUMN($C$19) +$BI27) )</f>
        <v>u</v>
      </c>
      <c r="BL27" s="408" t="str" cm="1">
        <f t="array" aca="1" ref="BL27" ca="1" xml:space="preserve"> INDIRECT( ADDRESS( ROW($C$18), COLUMN($C$18) +$BI27) )</f>
        <v>u</v>
      </c>
      <c r="BM27" s="407" t="str" cm="1">
        <f t="array" aca="1" ref="BM27" ca="1" xml:space="preserve"> INDIRECT( ADDRESS( ROW($C$16), COLUMN($C$16) +$BI27) )</f>
        <v>j</v>
      </c>
      <c r="BO27" s="517" t="str">
        <f t="shared" ca="1" si="0"/>
        <v>"j": { commit: "ㄨ" }</v>
      </c>
      <c r="BQ27" s="161">
        <v>24</v>
      </c>
      <c r="BR27" s="294" t="s">
        <v>49</v>
      </c>
      <c r="BS27" s="294">
        <v>24</v>
      </c>
      <c r="BT27" s="529" t="s">
        <v>32</v>
      </c>
      <c r="BU27" s="512">
        <v>24</v>
      </c>
      <c r="BV27" s="512" t="s">
        <v>50</v>
      </c>
      <c r="BX27" s="536">
        <f t="shared" si="1"/>
        <v>24</v>
      </c>
      <c r="BY27" s="537" t="s">
        <v>50</v>
      </c>
      <c r="BZ27" s="226" t="s">
        <v>66</v>
      </c>
      <c r="CA27" s="225" t="s">
        <v>268</v>
      </c>
      <c r="CD27" s="411">
        <f t="shared" si="2"/>
        <v>24</v>
      </c>
      <c r="CE27" s="543" t="s">
        <v>76</v>
      </c>
      <c r="CF27" s="409" t="s">
        <v>77</v>
      </c>
      <c r="CG27" s="408" t="s">
        <v>77</v>
      </c>
    </row>
    <row r="28" spans="1:85" s="412" customFormat="1" ht="31.5" customHeight="1">
      <c r="B28" s="422" t="s">
        <v>261</v>
      </c>
      <c r="C28" s="422"/>
      <c r="D28" s="422"/>
      <c r="E28" s="422"/>
      <c r="F28" s="422"/>
      <c r="G28" s="422"/>
      <c r="H28" s="422"/>
      <c r="I28" s="422"/>
      <c r="J28" s="422"/>
      <c r="K28" s="422"/>
      <c r="L28" s="422"/>
      <c r="M28" s="422"/>
      <c r="N28" s="422"/>
      <c r="O28" s="422"/>
      <c r="P28" s="422"/>
      <c r="Q28" s="422"/>
      <c r="R28" s="422"/>
      <c r="S28" s="423"/>
      <c r="T28" s="422"/>
      <c r="U28" s="422"/>
      <c r="V28" s="422"/>
      <c r="W28" s="422"/>
      <c r="X28" s="422"/>
      <c r="Y28" s="422"/>
      <c r="Z28" s="422"/>
      <c r="AA28" s="422"/>
      <c r="AB28" s="422"/>
      <c r="AC28" s="422"/>
      <c r="AD28" s="422"/>
      <c r="AE28" s="422"/>
      <c r="AF28" s="422"/>
      <c r="AG28" s="422"/>
      <c r="AH28" s="413"/>
      <c r="AI28" s="413"/>
      <c r="AJ28" s="413"/>
      <c r="AK28" s="413"/>
      <c r="AL28" s="413"/>
      <c r="AM28" s="413"/>
      <c r="AN28" s="413"/>
      <c r="AO28" s="413"/>
      <c r="AP28" s="413"/>
      <c r="AQ28" s="413"/>
      <c r="AR28" s="413"/>
      <c r="AS28" s="413"/>
      <c r="AT28" s="413"/>
      <c r="AU28" s="413"/>
      <c r="AV28" s="413"/>
      <c r="AW28" s="413"/>
      <c r="AX28" s="413"/>
      <c r="AY28" s="413"/>
      <c r="AZ28" s="413"/>
      <c r="BA28" s="413"/>
      <c r="BB28" s="413"/>
      <c r="BC28" s="413"/>
      <c r="BD28" s="413"/>
      <c r="BE28" s="413"/>
      <c r="BF28" s="413"/>
      <c r="BG28" s="413"/>
      <c r="BH28" s="413"/>
      <c r="BI28" s="411">
        <v>25</v>
      </c>
      <c r="BJ28" s="543" t="str" cm="1">
        <f t="array" aca="1" ref="BJ28" ca="1" xml:space="preserve"> INDIRECT( ADDRESS( ROW($C$17), COLUMN($C$17) +$BI28) )</f>
        <v>ㆫ</v>
      </c>
      <c r="BK28" s="409" t="str" cm="1">
        <f t="array" aca="1" ref="BK28" ca="1" xml:space="preserve"> INDIRECT( ADDRESS( ROW($C$19), COLUMN($C$19) +$BI28) )</f>
        <v>uN</v>
      </c>
      <c r="BL28" s="408" t="str" cm="1">
        <f t="array" aca="1" ref="BL28" ca="1" xml:space="preserve"> INDIRECT( ADDRESS( ROW($C$18), COLUMN($C$18) +$BI28) )</f>
        <v>U</v>
      </c>
      <c r="BM28" s="407" t="str" cm="1">
        <f t="array" aca="1" ref="BM28" ca="1" xml:space="preserve"> INDIRECT( ADDRESS( ROW($C$16), COLUMN($C$16) +$BI28) )</f>
        <v>J</v>
      </c>
      <c r="BO28" s="517" t="str">
        <f t="shared" ca="1" si="0"/>
        <v>"J": { commit: "ㆫ" }</v>
      </c>
      <c r="BQ28" s="161">
        <v>25</v>
      </c>
      <c r="BR28" s="294" t="s">
        <v>31</v>
      </c>
      <c r="BS28" s="294">
        <v>25</v>
      </c>
      <c r="BT28" s="529" t="s">
        <v>24</v>
      </c>
      <c r="BU28" s="512">
        <v>25</v>
      </c>
      <c r="BV28" s="515" t="s">
        <v>108</v>
      </c>
      <c r="BX28" s="536">
        <f t="shared" si="1"/>
        <v>25</v>
      </c>
      <c r="BY28" s="537" t="s">
        <v>50</v>
      </c>
      <c r="BZ28" s="226" t="s">
        <v>21</v>
      </c>
      <c r="CA28" s="225" t="s">
        <v>278</v>
      </c>
      <c r="CD28" s="411">
        <f t="shared" si="2"/>
        <v>25</v>
      </c>
      <c r="CE28" s="543" t="s">
        <v>117</v>
      </c>
      <c r="CF28" s="409" t="s">
        <v>931</v>
      </c>
      <c r="CG28" s="408" t="s">
        <v>30</v>
      </c>
    </row>
    <row r="29" spans="1:85" s="412" customFormat="1" ht="31.5" customHeight="1">
      <c r="B29" s="421" t="s">
        <v>167</v>
      </c>
      <c r="C29" s="420"/>
      <c r="D29" s="420">
        <f ca="1" xml:space="preserve"> LEN(E29)</f>
        <v>52</v>
      </c>
      <c r="E29" s="419" t="str">
        <f ca="1" xml:space="preserve"> _xlfn.CONCAT(D16:BC16)</f>
        <v>1!qa2wsxeEdgyYhncrRfvuUjJ8*iIk,&lt;omp/&gt;.9(lL0:;? 43657</v>
      </c>
      <c r="F29" s="419"/>
      <c r="G29" s="419"/>
      <c r="H29" s="419"/>
      <c r="I29" s="419"/>
      <c r="J29" s="419"/>
      <c r="K29" s="419"/>
      <c r="L29" s="419"/>
      <c r="M29" s="419"/>
      <c r="N29" s="419"/>
      <c r="O29" s="419"/>
      <c r="P29" s="419"/>
      <c r="Q29" s="419"/>
      <c r="R29" s="419"/>
      <c r="S29" s="419"/>
      <c r="T29" s="419"/>
      <c r="U29" s="419"/>
      <c r="V29" s="419"/>
      <c r="W29" s="419"/>
      <c r="X29" s="419"/>
      <c r="Y29" s="419"/>
      <c r="Z29" s="419"/>
      <c r="AA29" s="419"/>
      <c r="AB29" s="419"/>
      <c r="AC29" s="419"/>
      <c r="AD29" s="419"/>
      <c r="AE29" s="419"/>
      <c r="AF29" s="419"/>
      <c r="AG29" s="419"/>
      <c r="AH29" s="419"/>
      <c r="AI29" s="419"/>
      <c r="AJ29" s="419"/>
      <c r="AK29" s="413"/>
      <c r="AL29" s="413"/>
      <c r="AM29" s="558" t="s">
        <v>252</v>
      </c>
      <c r="AN29" s="413">
        <f ca="1" xml:space="preserve"> FIND(AM29, E29, 1)</f>
        <v>21</v>
      </c>
      <c r="AO29" s="559" t="s">
        <v>944</v>
      </c>
      <c r="AP29" s="413" t="str">
        <f ca="1" xml:space="preserve"> MID(E30, AN29, 1)</f>
        <v>ㄒ</v>
      </c>
      <c r="AQ29" s="413"/>
      <c r="AR29" s="413"/>
      <c r="AS29" s="413"/>
      <c r="AT29" s="413"/>
      <c r="AU29" s="413"/>
      <c r="AV29" s="413"/>
      <c r="AW29" s="413"/>
      <c r="AX29" s="413"/>
      <c r="AY29" s="413"/>
      <c r="AZ29" s="413"/>
      <c r="BA29" s="413"/>
      <c r="BB29" s="413"/>
      <c r="BC29" s="413"/>
      <c r="BD29" s="413"/>
      <c r="BE29" s="413"/>
      <c r="BF29" s="413"/>
      <c r="BG29" s="413"/>
      <c r="BH29" s="413"/>
      <c r="BI29" s="411">
        <v>26</v>
      </c>
      <c r="BJ29" s="543" t="str" cm="1">
        <f t="array" aca="1" ref="BJ29" ca="1" xml:space="preserve"> INDIRECT( ADDRESS( ROW($C$17), COLUMN($C$17) +$BI29) )</f>
        <v>ㄚ</v>
      </c>
      <c r="BK29" s="409" t="str" cm="1">
        <f t="array" aca="1" ref="BK29" ca="1" xml:space="preserve"> INDIRECT( ADDRESS( ROW($C$19), COLUMN($C$19) +$BI29) )</f>
        <v>a</v>
      </c>
      <c r="BL29" s="408" t="str" cm="1">
        <f t="array" aca="1" ref="BL29" ca="1" xml:space="preserve"> INDIRECT( ADDRESS( ROW($C$18), COLUMN($C$18) +$BI29) )</f>
        <v>a</v>
      </c>
      <c r="BM29" s="407" t="str" cm="1">
        <f t="array" aca="1" ref="BM29" ca="1" xml:space="preserve"> INDIRECT( ADDRESS( ROW($C$16), COLUMN($C$16) +$BI29) )</f>
        <v>8</v>
      </c>
      <c r="BO29" s="517" t="str">
        <f t="shared" ca="1" si="0"/>
        <v>"8": { commit: "ㄚ" }</v>
      </c>
      <c r="BQ29" s="161">
        <v>26</v>
      </c>
      <c r="BR29" s="294" t="s">
        <v>42</v>
      </c>
      <c r="BS29" s="294">
        <v>26</v>
      </c>
      <c r="BT29" s="529" t="s">
        <v>79</v>
      </c>
      <c r="BU29" s="512">
        <v>26</v>
      </c>
      <c r="BV29" s="512" t="s">
        <v>78</v>
      </c>
      <c r="BX29" s="536">
        <f t="shared" si="1"/>
        <v>26</v>
      </c>
      <c r="BY29" s="537" t="s">
        <v>78</v>
      </c>
      <c r="BZ29" s="226" t="s">
        <v>51</v>
      </c>
      <c r="CA29" s="225" t="s">
        <v>271</v>
      </c>
      <c r="CD29" s="411">
        <f t="shared" si="2"/>
        <v>26</v>
      </c>
      <c r="CE29" s="543" t="s">
        <v>20</v>
      </c>
      <c r="CF29" s="409" t="s">
        <v>21</v>
      </c>
      <c r="CG29" s="408" t="s">
        <v>21</v>
      </c>
    </row>
    <row r="30" spans="1:85" s="412" customFormat="1" ht="31.5" customHeight="1">
      <c r="B30" s="417" t="s">
        <v>104</v>
      </c>
      <c r="C30" s="418"/>
      <c r="D30" s="418">
        <f ca="1">LEN(E30)</f>
        <v>52</v>
      </c>
      <c r="E30" s="417" t="str">
        <f ca="1" xml:space="preserve"> _xlfn.CONCAT(D17:BC17)</f>
        <v>ㄅㆠㄆㄇㄉㄊㄋㄌㄍㆣㄎㄫㄗㆡㄘㄙㄏㄐㆢㄑㄒㄧㆪㄨㆫㄚㆩㆦㆧㄜㆤㆥㆨㆬㄣㆭㆱㆰㄞㆮㄠㆯㄢㆲㄤㄥˉˋ˪ˊ˫˙</v>
      </c>
      <c r="F30" s="417"/>
      <c r="G30" s="417"/>
      <c r="H30" s="417"/>
      <c r="I30" s="417"/>
      <c r="J30" s="417"/>
      <c r="K30" s="417"/>
      <c r="L30" s="417"/>
      <c r="M30" s="417"/>
      <c r="N30" s="417"/>
      <c r="O30" s="417"/>
      <c r="P30" s="417"/>
      <c r="Q30" s="417"/>
      <c r="R30" s="417"/>
      <c r="S30" s="417"/>
      <c r="T30" s="417"/>
      <c r="U30" s="417"/>
      <c r="V30" s="417"/>
      <c r="W30" s="417"/>
      <c r="X30" s="417"/>
      <c r="Y30" s="417"/>
      <c r="Z30" s="417"/>
      <c r="AA30" s="417"/>
      <c r="AB30" s="417"/>
      <c r="AC30" s="417"/>
      <c r="AD30" s="417"/>
      <c r="AE30" s="417"/>
      <c r="AF30" s="417"/>
      <c r="AG30" s="417"/>
      <c r="AH30" s="417"/>
      <c r="AI30" s="417"/>
      <c r="AJ30" s="417"/>
      <c r="AK30" s="413"/>
      <c r="AL30" s="413"/>
      <c r="AM30" s="413"/>
      <c r="AN30" s="413"/>
      <c r="AO30" s="413"/>
      <c r="AP30" s="413"/>
      <c r="AQ30" s="413"/>
      <c r="AR30" s="413"/>
      <c r="AS30" s="413"/>
      <c r="AT30" s="413"/>
      <c r="AU30" s="413"/>
      <c r="AV30" s="413"/>
      <c r="AW30" s="413"/>
      <c r="AX30" s="413"/>
      <c r="AY30" s="413"/>
      <c r="AZ30" s="413"/>
      <c r="BA30" s="413"/>
      <c r="BB30" s="413"/>
      <c r="BC30" s="413"/>
      <c r="BD30" s="413"/>
      <c r="BE30" s="413"/>
      <c r="BF30" s="413"/>
      <c r="BG30" s="413"/>
      <c r="BH30" s="413"/>
      <c r="BI30" s="411">
        <v>27</v>
      </c>
      <c r="BJ30" s="543" t="str" cm="1">
        <f t="array" aca="1" ref="BJ30" ca="1" xml:space="preserve"> INDIRECT( ADDRESS( ROW($C$17), COLUMN($C$17) +$BI30) )</f>
        <v>ㆩ</v>
      </c>
      <c r="BK30" s="409" t="str" cm="1">
        <f t="array" aca="1" ref="BK30" ca="1" xml:space="preserve"> INDIRECT( ADDRESS( ROW($C$19), COLUMN($C$19) +$BI30) )</f>
        <v>aN</v>
      </c>
      <c r="BL30" s="408" t="str" cm="1">
        <f t="array" aca="1" ref="BL30" ca="1" xml:space="preserve"> INDIRECT( ADDRESS( ROW($C$18), COLUMN($C$18) +$BI30) )</f>
        <v>A</v>
      </c>
      <c r="BM30" s="407" t="str" cm="1">
        <f t="array" aca="1" ref="BM30" ca="1" xml:space="preserve"> INDIRECT( ADDRESS( ROW($C$16), COLUMN($C$16) +$BI30) )</f>
        <v>*</v>
      </c>
      <c r="BO30" s="517" t="str">
        <f t="shared" ca="1" si="0"/>
        <v>"*": { commit: "ㆩ" }</v>
      </c>
      <c r="BQ30" s="161">
        <v>27</v>
      </c>
      <c r="BR30" s="531" t="s">
        <v>79</v>
      </c>
      <c r="BS30" s="294">
        <v>27</v>
      </c>
      <c r="BT30" s="529" t="s">
        <v>53</v>
      </c>
      <c r="BU30" s="512">
        <v>27</v>
      </c>
      <c r="BV30" s="512" t="s">
        <v>52</v>
      </c>
      <c r="BX30" s="536">
        <f t="shared" si="1"/>
        <v>27</v>
      </c>
      <c r="BY30" s="537" t="s">
        <v>52</v>
      </c>
      <c r="BZ30" s="226" t="s">
        <v>79</v>
      </c>
      <c r="CA30" s="225" t="s">
        <v>269</v>
      </c>
      <c r="CD30" s="411">
        <f t="shared" si="2"/>
        <v>27</v>
      </c>
      <c r="CE30" s="543" t="s">
        <v>107</v>
      </c>
      <c r="CF30" s="409" t="s">
        <v>928</v>
      </c>
      <c r="CG30" s="408" t="s">
        <v>709</v>
      </c>
    </row>
    <row r="31" spans="1:85" s="412" customFormat="1" ht="31.5" customHeight="1">
      <c r="B31" s="416" t="str">
        <f ca="1" xml:space="preserve"> "- xlit|" &amp; E29 &amp; "|" &amp; E30 &amp; "|"</f>
        <v>- xlit|1!qa2wsxeEdgyYhncrRfvuUjJ8*iIk,&lt;omp/&gt;.9(lL0:;? 43657|ㄅㆠㄆㄇㄉㄊㄋㄌㄍㆣㄎㄫㄗㆡㄘㄙㄏㄐㆢㄑㄒㄧㆪㄨㆫㄚㆩㆦㆧㄜㆤㆥㆨㆬㄣㆭㆱㆰㄞㆮㄠㆯㄢㆲㄤㄥˉˋ˪ˊ˫˙|</v>
      </c>
      <c r="C31" s="415"/>
      <c r="D31" s="415"/>
      <c r="E31" s="415"/>
      <c r="F31" s="415"/>
      <c r="G31" s="415"/>
      <c r="H31" s="415"/>
      <c r="I31" s="415"/>
      <c r="J31" s="415"/>
      <c r="K31" s="415"/>
      <c r="L31" s="415"/>
      <c r="M31" s="415"/>
      <c r="N31" s="415"/>
      <c r="O31" s="415"/>
      <c r="P31" s="415"/>
      <c r="Q31" s="415"/>
      <c r="R31" s="415"/>
      <c r="S31" s="415"/>
      <c r="T31" s="415"/>
      <c r="U31" s="415"/>
      <c r="V31" s="415"/>
      <c r="W31" s="415"/>
      <c r="X31" s="415"/>
      <c r="Y31" s="415"/>
      <c r="Z31" s="415"/>
      <c r="AA31" s="415"/>
      <c r="AB31" s="415"/>
      <c r="AC31" s="415"/>
      <c r="AD31" s="415"/>
      <c r="AE31" s="415"/>
      <c r="AF31" s="415"/>
      <c r="AG31" s="414"/>
      <c r="AH31" s="414"/>
      <c r="AI31" s="414"/>
      <c r="AJ31" s="414"/>
      <c r="AK31" s="413"/>
      <c r="AL31" s="413"/>
      <c r="AM31" s="413"/>
      <c r="AN31" s="413"/>
      <c r="AO31" s="413"/>
      <c r="AP31" s="413"/>
      <c r="AQ31" s="413"/>
      <c r="AR31" s="413"/>
      <c r="AS31" s="413"/>
      <c r="AT31" s="413"/>
      <c r="AU31" s="413"/>
      <c r="AV31" s="413"/>
      <c r="AW31" s="413"/>
      <c r="AX31" s="413"/>
      <c r="AY31" s="413"/>
      <c r="AZ31" s="413"/>
      <c r="BA31" s="413"/>
      <c r="BB31" s="413"/>
      <c r="BC31" s="413"/>
      <c r="BD31" s="413"/>
      <c r="BE31" s="413"/>
      <c r="BF31" s="413"/>
      <c r="BG31" s="413"/>
      <c r="BH31" s="413"/>
      <c r="BI31" s="411">
        <v>28</v>
      </c>
      <c r="BJ31" s="543" t="str" cm="1">
        <f t="array" aca="1" ref="BJ31" ca="1" xml:space="preserve"> INDIRECT( ADDRESS( ROW($C$17), COLUMN($C$17) +$BI31) )</f>
        <v>ㆦ</v>
      </c>
      <c r="BK31" s="409" t="str" cm="1">
        <f t="array" aca="1" ref="BK31" ca="1" xml:space="preserve"> INDIRECT( ADDRESS( ROW($C$19), COLUMN($C$19) +$BI31) )</f>
        <v>oo</v>
      </c>
      <c r="BL31" s="408" t="str" cm="1">
        <f t="array" aca="1" ref="BL31" ca="1" xml:space="preserve"> INDIRECT( ADDRESS( ROW($C$18), COLUMN($C$18) +$BI31) )</f>
        <v>O</v>
      </c>
      <c r="BM31" s="407" t="str" cm="1">
        <f t="array" aca="1" ref="BM31" ca="1" xml:space="preserve"> INDIRECT( ADDRESS( ROW($C$16), COLUMN($C$16) +$BI31) )</f>
        <v>i</v>
      </c>
      <c r="BO31" s="517" t="str">
        <f t="shared" ca="1" si="0"/>
        <v>"i": { commit: "ㆦ" }</v>
      </c>
      <c r="BQ31" s="161">
        <v>28</v>
      </c>
      <c r="BR31" s="531" t="s">
        <v>32</v>
      </c>
      <c r="BS31" s="294">
        <v>28</v>
      </c>
      <c r="BT31" s="529" t="s">
        <v>26</v>
      </c>
      <c r="BU31" s="512">
        <v>28</v>
      </c>
      <c r="BV31" s="515" t="s">
        <v>110</v>
      </c>
      <c r="BX31" s="536">
        <f t="shared" si="1"/>
        <v>28</v>
      </c>
      <c r="BY31" s="537" t="s">
        <v>52</v>
      </c>
      <c r="BZ31" s="226" t="s">
        <v>372</v>
      </c>
      <c r="CA31" s="225" t="s">
        <v>574</v>
      </c>
      <c r="CD31" s="411">
        <f t="shared" si="2"/>
        <v>28</v>
      </c>
      <c r="CE31" s="543" t="s">
        <v>50</v>
      </c>
      <c r="CF31" s="409" t="s">
        <v>51</v>
      </c>
      <c r="CG31" s="408" t="s">
        <v>32</v>
      </c>
    </row>
    <row r="32" spans="1:85" s="412" customFormat="1" ht="31.5" customHeight="1">
      <c r="B32" s="406"/>
      <c r="C32" s="406"/>
      <c r="D32" s="406"/>
      <c r="E32" s="406"/>
      <c r="F32" s="406"/>
      <c r="G32" s="406"/>
      <c r="H32" s="406"/>
      <c r="I32" s="406"/>
      <c r="J32" s="406"/>
      <c r="K32" s="406"/>
      <c r="L32" s="406"/>
      <c r="M32" s="406"/>
      <c r="N32" s="406"/>
      <c r="O32" s="406"/>
      <c r="P32" s="406"/>
      <c r="Q32" s="406"/>
      <c r="R32" s="406"/>
      <c r="S32" s="406"/>
      <c r="T32" s="406"/>
      <c r="U32" s="406"/>
      <c r="V32" s="406"/>
      <c r="W32" s="406"/>
      <c r="X32" s="406"/>
      <c r="Y32" s="406"/>
      <c r="Z32" s="406"/>
      <c r="AA32" s="406"/>
      <c r="AB32" s="406"/>
      <c r="AC32" s="406"/>
      <c r="AD32" s="406"/>
      <c r="AE32" s="406"/>
      <c r="AF32" s="406"/>
      <c r="AG32" s="406"/>
      <c r="AH32" s="413"/>
      <c r="AI32" s="413"/>
      <c r="AJ32" s="413"/>
      <c r="AK32" s="413"/>
      <c r="AL32" s="413"/>
      <c r="AM32" s="413"/>
      <c r="AN32" s="413"/>
      <c r="AO32" s="413"/>
      <c r="AP32" s="413"/>
      <c r="AQ32" s="413"/>
      <c r="AR32" s="413"/>
      <c r="AS32" s="413"/>
      <c r="AT32" s="413"/>
      <c r="AU32" s="413"/>
      <c r="AV32" s="413"/>
      <c r="AW32" s="413"/>
      <c r="AX32" s="413"/>
      <c r="AY32" s="413"/>
      <c r="AZ32" s="413"/>
      <c r="BA32" s="413"/>
      <c r="BB32" s="413"/>
      <c r="BC32" s="413"/>
      <c r="BD32" s="413"/>
      <c r="BE32" s="413"/>
      <c r="BF32" s="413"/>
      <c r="BG32" s="413"/>
      <c r="BH32" s="413"/>
      <c r="BI32" s="411">
        <v>29</v>
      </c>
      <c r="BJ32" s="543" t="str" cm="1">
        <f t="array" aca="1" ref="BJ32" ca="1" xml:space="preserve"> INDIRECT( ADDRESS( ROW($C$17), COLUMN($C$17) +$BI32) )</f>
        <v>ㆧ</v>
      </c>
      <c r="BK32" s="409" t="str" cm="1">
        <f t="array" aca="1" ref="BK32" ca="1" xml:space="preserve"> INDIRECT( ADDRESS( ROW($C$19), COLUMN($C$19) +$BI32) )</f>
        <v>ooN</v>
      </c>
      <c r="BL32" s="408" t="str" cm="1">
        <f t="array" aca="1" ref="BL32" ca="1" xml:space="preserve"> INDIRECT( ADDRESS( ROW($C$18), COLUMN($C$18) +$BI32) )</f>
        <v>Q</v>
      </c>
      <c r="BM32" s="407" t="str" cm="1">
        <f t="array" aca="1" ref="BM32" ca="1" xml:space="preserve"> INDIRECT( ADDRESS( ROW($C$16), COLUMN($C$16) +$BI32) )</f>
        <v>I</v>
      </c>
      <c r="BO32" s="517" t="str">
        <f t="shared" ca="1" si="0"/>
        <v>"I": { commit: "ㆧ" }</v>
      </c>
      <c r="BQ32" s="161">
        <v>29</v>
      </c>
      <c r="BR32" s="294" t="s">
        <v>178</v>
      </c>
      <c r="BS32" s="294">
        <v>29</v>
      </c>
      <c r="BT32" s="529" t="s">
        <v>175</v>
      </c>
      <c r="BU32" s="512">
        <v>29</v>
      </c>
      <c r="BV32" s="512" t="s">
        <v>22</v>
      </c>
      <c r="BX32" s="536">
        <f t="shared" si="1"/>
        <v>29</v>
      </c>
      <c r="BY32" s="537" t="s">
        <v>22</v>
      </c>
      <c r="BZ32" s="226" t="s">
        <v>53</v>
      </c>
      <c r="CA32" s="225" t="s">
        <v>265</v>
      </c>
      <c r="CD32" s="411">
        <f t="shared" si="2"/>
        <v>29</v>
      </c>
      <c r="CE32" s="543" t="s">
        <v>108</v>
      </c>
      <c r="CF32" s="409" t="s">
        <v>929</v>
      </c>
      <c r="CG32" s="408" t="s">
        <v>24</v>
      </c>
    </row>
    <row r="33" spans="2:85" s="412" customFormat="1" ht="31.5" customHeight="1">
      <c r="B33" s="424" t="s">
        <v>938</v>
      </c>
      <c r="C33" s="422"/>
      <c r="D33" s="422"/>
      <c r="E33" s="422"/>
      <c r="F33" s="422"/>
      <c r="G33" s="422"/>
      <c r="H33" s="422"/>
      <c r="I33" s="422"/>
      <c r="J33" s="422"/>
      <c r="K33" s="422"/>
      <c r="L33" s="422"/>
      <c r="M33" s="422"/>
      <c r="N33" s="422"/>
      <c r="O33" s="422"/>
      <c r="P33" s="422"/>
      <c r="Q33" s="422"/>
      <c r="R33" s="422"/>
      <c r="S33" s="422"/>
      <c r="T33" s="422"/>
      <c r="U33" s="422"/>
      <c r="V33" s="422"/>
      <c r="W33" s="422"/>
      <c r="X33" s="422"/>
      <c r="Y33" s="422"/>
      <c r="Z33" s="422"/>
      <c r="AA33" s="422"/>
      <c r="AB33" s="422"/>
      <c r="AC33" s="422"/>
      <c r="AD33" s="422"/>
      <c r="AE33" s="422"/>
      <c r="AF33" s="422"/>
      <c r="AG33" s="422"/>
      <c r="AH33" s="413"/>
      <c r="AI33" s="413"/>
      <c r="AJ33" s="413"/>
      <c r="AK33" s="413"/>
      <c r="AL33" s="413"/>
      <c r="AM33" s="413"/>
      <c r="AN33" s="413"/>
      <c r="AO33" s="413"/>
      <c r="AP33" s="413"/>
      <c r="AQ33" s="413"/>
      <c r="AR33" s="413"/>
      <c r="AS33" s="413"/>
      <c r="AT33" s="413"/>
      <c r="AU33" s="413"/>
      <c r="AV33" s="413"/>
      <c r="AW33" s="413"/>
      <c r="AX33" s="413"/>
      <c r="AY33" s="413"/>
      <c r="AZ33" s="413"/>
      <c r="BA33" s="413"/>
      <c r="BB33" s="413"/>
      <c r="BC33" s="413"/>
      <c r="BD33" s="413"/>
      <c r="BE33" s="413"/>
      <c r="BF33" s="413"/>
      <c r="BG33" s="413"/>
      <c r="BH33" s="413"/>
      <c r="BI33" s="411">
        <v>30</v>
      </c>
      <c r="BJ33" s="543" t="str" cm="1">
        <f t="array" aca="1" ref="BJ33" ca="1" xml:space="preserve"> INDIRECT( ADDRESS( ROW($C$17), COLUMN($C$17) +$BI33) )</f>
        <v>ㄜ</v>
      </c>
      <c r="BK33" s="409" t="str" cm="1">
        <f t="array" aca="1" ref="BK33" ca="1" xml:space="preserve"> INDIRECT( ADDRESS( ROW($C$19), COLUMN($C$19) +$BI33) )</f>
        <v>o</v>
      </c>
      <c r="BL33" s="408" t="str" cm="1">
        <f t="array" aca="1" ref="BL33" ca="1" xml:space="preserve"> INDIRECT( ADDRESS( ROW($C$18), COLUMN($C$18) +$BI33) )</f>
        <v>o</v>
      </c>
      <c r="BM33" s="407" t="str" cm="1">
        <f t="array" aca="1" ref="BM33" ca="1" xml:space="preserve"> INDIRECT( ADDRESS( ROW($C$16), COLUMN($C$16) +$BI33) )</f>
        <v>k</v>
      </c>
      <c r="BO33" s="517" t="str">
        <f t="shared" ca="1" si="0"/>
        <v>"k": { commit: "ㄜ" }</v>
      </c>
      <c r="BQ33" s="161">
        <v>30</v>
      </c>
      <c r="BR33" s="294" t="s">
        <v>179</v>
      </c>
      <c r="BS33" s="294">
        <v>30</v>
      </c>
      <c r="BT33" s="529" t="s">
        <v>29</v>
      </c>
      <c r="BU33" s="512">
        <v>30</v>
      </c>
      <c r="BV33" s="512" t="s">
        <v>111</v>
      </c>
      <c r="BX33" s="536">
        <f t="shared" si="1"/>
        <v>30</v>
      </c>
      <c r="BY33" s="537" t="s">
        <v>111</v>
      </c>
      <c r="BZ33" s="226" t="s">
        <v>375</v>
      </c>
      <c r="CA33" s="225" t="s">
        <v>577</v>
      </c>
      <c r="CD33" s="411">
        <f t="shared" si="2"/>
        <v>30</v>
      </c>
      <c r="CE33" s="543" t="s">
        <v>78</v>
      </c>
      <c r="CF33" s="409" t="s">
        <v>79</v>
      </c>
      <c r="CG33" s="408" t="s">
        <v>79</v>
      </c>
    </row>
    <row r="34" spans="2:85" s="412" customFormat="1" ht="31.5" customHeight="1">
      <c r="B34" s="422" t="s">
        <v>846</v>
      </c>
      <c r="C34" s="422"/>
      <c r="D34" s="422"/>
      <c r="E34" s="422"/>
      <c r="F34" s="422"/>
      <c r="G34" s="422"/>
      <c r="H34" s="422"/>
      <c r="I34" s="422"/>
      <c r="J34" s="422"/>
      <c r="K34" s="422"/>
      <c r="L34" s="422"/>
      <c r="M34" s="422"/>
      <c r="N34" s="422"/>
      <c r="O34" s="422"/>
      <c r="P34" s="422"/>
      <c r="Q34" s="422"/>
      <c r="R34" s="422"/>
      <c r="S34" s="423"/>
      <c r="T34" s="422"/>
      <c r="U34" s="422"/>
      <c r="V34" s="422"/>
      <c r="W34" s="422"/>
      <c r="X34" s="422"/>
      <c r="Y34" s="422"/>
      <c r="Z34" s="422"/>
      <c r="AA34" s="422"/>
      <c r="AB34" s="422"/>
      <c r="AC34" s="422"/>
      <c r="AD34" s="422"/>
      <c r="AE34" s="422"/>
      <c r="AF34" s="422"/>
      <c r="AG34" s="422"/>
      <c r="AH34" s="413"/>
      <c r="AI34" s="413"/>
      <c r="AJ34" s="413"/>
      <c r="AK34" s="413"/>
      <c r="AL34" s="413"/>
      <c r="AM34" s="413"/>
      <c r="AN34" s="413"/>
      <c r="AO34" s="413"/>
      <c r="AP34" s="413"/>
      <c r="AQ34" s="413"/>
      <c r="AR34" s="413"/>
      <c r="AS34" s="413"/>
      <c r="AT34" s="413"/>
      <c r="AU34" s="413"/>
      <c r="AV34" s="413"/>
      <c r="AW34" s="413"/>
      <c r="AX34" s="413"/>
      <c r="AY34" s="413"/>
      <c r="AZ34" s="413"/>
      <c r="BA34" s="413"/>
      <c r="BB34" s="413"/>
      <c r="BC34" s="413"/>
      <c r="BD34" s="413"/>
      <c r="BE34" s="413"/>
      <c r="BF34" s="413"/>
      <c r="BG34" s="413"/>
      <c r="BH34" s="413"/>
      <c r="BI34" s="411">
        <v>31</v>
      </c>
      <c r="BJ34" s="543" t="str" cm="1">
        <f t="array" aca="1" ref="BJ34" ca="1" xml:space="preserve"> INDIRECT( ADDRESS( ROW($C$17), COLUMN($C$17) +$BI34) )</f>
        <v>ㆤ</v>
      </c>
      <c r="BK34" s="409" t="str" cm="1">
        <f t="array" aca="1" ref="BK34" ca="1" xml:space="preserve"> INDIRECT( ADDRESS( ROW($C$19), COLUMN($C$19) +$BI34) )</f>
        <v>e</v>
      </c>
      <c r="BL34" s="408" t="str" cm="1">
        <f t="array" aca="1" ref="BL34" ca="1" xml:space="preserve"> INDIRECT( ADDRESS( ROW($C$18), COLUMN($C$18) +$BI34) )</f>
        <v>e</v>
      </c>
      <c r="BM34" s="407" t="str" cm="1">
        <f t="array" aca="1" ref="BM34" ca="1" xml:space="preserve"> INDIRECT( ADDRESS( ROW($C$16), COLUMN($C$16) +$BI34) )</f>
        <v>,</v>
      </c>
      <c r="BO34" s="517" t="str">
        <f t="shared" ca="1" si="0"/>
        <v>",": { commit: "ㆤ" }</v>
      </c>
      <c r="BQ34" s="161">
        <v>31</v>
      </c>
      <c r="BR34" s="294" t="s">
        <v>93</v>
      </c>
      <c r="BS34" s="294">
        <v>31</v>
      </c>
      <c r="BT34" s="529" t="s">
        <v>171</v>
      </c>
      <c r="BU34" s="512">
        <v>31</v>
      </c>
      <c r="BV34" s="512" t="s">
        <v>80</v>
      </c>
      <c r="BX34" s="536">
        <f t="shared" si="1"/>
        <v>31</v>
      </c>
      <c r="BY34" s="537" t="s">
        <v>80</v>
      </c>
      <c r="BZ34" s="226" t="s">
        <v>515</v>
      </c>
      <c r="CA34" s="225" t="s">
        <v>580</v>
      </c>
      <c r="CD34" s="411">
        <f t="shared" si="2"/>
        <v>31</v>
      </c>
      <c r="CE34" s="543" t="s">
        <v>52</v>
      </c>
      <c r="CF34" s="409" t="s">
        <v>141</v>
      </c>
      <c r="CG34" s="408" t="s">
        <v>53</v>
      </c>
    </row>
    <row r="35" spans="2:85" s="412" customFormat="1" ht="31.5" customHeight="1">
      <c r="B35" s="421" t="s">
        <v>845</v>
      </c>
      <c r="C35" s="420"/>
      <c r="D35" s="420">
        <f ca="1" xml:space="preserve"> LEN(E35)</f>
        <v>52</v>
      </c>
      <c r="E35" s="419" t="str">
        <f ca="1" xml:space="preserve"> _xlfn.CONCAT(D18:BC18)</f>
        <v>pbPmtTnlkgKwzjcshZJCSiIuUaAOQoeEwMNr}{yYxX@][R123570</v>
      </c>
      <c r="F35" s="419"/>
      <c r="G35" s="419"/>
      <c r="H35" s="419"/>
      <c r="I35" s="419"/>
      <c r="J35" s="419"/>
      <c r="K35" s="419"/>
      <c r="L35" s="419"/>
      <c r="M35" s="419"/>
      <c r="N35" s="419"/>
      <c r="O35" s="419"/>
      <c r="P35" s="419"/>
      <c r="Q35" s="419"/>
      <c r="R35" s="419"/>
      <c r="S35" s="419"/>
      <c r="T35" s="419"/>
      <c r="U35" s="419"/>
      <c r="V35" s="419"/>
      <c r="W35" s="419"/>
      <c r="X35" s="419"/>
      <c r="Y35" s="419"/>
      <c r="Z35" s="419"/>
      <c r="AA35" s="419"/>
      <c r="AB35" s="419"/>
      <c r="AC35" s="419"/>
      <c r="AD35" s="419"/>
      <c r="AE35" s="419"/>
      <c r="AF35" s="419"/>
      <c r="AG35" s="419"/>
      <c r="AH35" s="419"/>
      <c r="AI35" s="419"/>
      <c r="AJ35" s="419"/>
      <c r="AK35" s="406"/>
      <c r="AL35" s="406"/>
      <c r="AM35" s="406"/>
      <c r="AN35" s="406"/>
      <c r="AO35" s="406"/>
      <c r="AP35" s="406"/>
      <c r="AQ35" s="406"/>
      <c r="AR35" s="406"/>
      <c r="AS35" s="406"/>
      <c r="AT35" s="406"/>
      <c r="AU35" s="406"/>
      <c r="AV35" s="406"/>
      <c r="AW35" s="406"/>
      <c r="AX35" s="406"/>
      <c r="AY35" s="406"/>
      <c r="AZ35" s="406"/>
      <c r="BA35" s="406"/>
      <c r="BB35" s="406"/>
      <c r="BC35" s="406"/>
      <c r="BD35" s="413"/>
      <c r="BE35" s="413"/>
      <c r="BF35" s="413"/>
      <c r="BG35" s="413"/>
      <c r="BH35" s="413"/>
      <c r="BI35" s="411">
        <v>32</v>
      </c>
      <c r="BJ35" s="543" t="str" cm="1">
        <f t="array" aca="1" ref="BJ35" ca="1" xml:space="preserve"> INDIRECT( ADDRESS( ROW($C$17), COLUMN($C$17) +$BI35) )</f>
        <v>ㆥ</v>
      </c>
      <c r="BK35" s="409" t="str" cm="1">
        <f t="array" aca="1" ref="BK35" ca="1" xml:space="preserve"> INDIRECT( ADDRESS( ROW($C$19), COLUMN($C$19) +$BI35) )</f>
        <v>eN</v>
      </c>
      <c r="BL35" s="408" t="str" cm="1">
        <f t="array" aca="1" ref="BL35" ca="1" xml:space="preserve"> INDIRECT( ADDRESS( ROW($C$18), COLUMN($C$18) +$BI35) )</f>
        <v>E</v>
      </c>
      <c r="BM35" s="407" t="str" cm="1">
        <f t="array" aca="1" ref="BM35" ca="1" xml:space="preserve"> INDIRECT( ADDRESS( ROW($C$16), COLUMN($C$16) +$BI35) )</f>
        <v>&lt;</v>
      </c>
      <c r="BO35" s="517" t="str">
        <f t="shared" ca="1" si="0"/>
        <v>"&lt;": { commit: "ㆥ" }</v>
      </c>
      <c r="BQ35" s="161">
        <v>32</v>
      </c>
      <c r="BR35" s="294" t="s">
        <v>63</v>
      </c>
      <c r="BS35" s="294">
        <v>32</v>
      </c>
      <c r="BT35" s="529" t="s">
        <v>82</v>
      </c>
      <c r="BU35" s="512">
        <v>32</v>
      </c>
      <c r="BV35" s="512" t="s">
        <v>112</v>
      </c>
      <c r="BX35" s="536">
        <f t="shared" si="1"/>
        <v>32</v>
      </c>
      <c r="BY35" s="537" t="s">
        <v>80</v>
      </c>
      <c r="BZ35" s="226" t="s">
        <v>509</v>
      </c>
      <c r="CA35" s="225" t="s">
        <v>581</v>
      </c>
      <c r="CD35" s="411">
        <f t="shared" si="2"/>
        <v>32</v>
      </c>
      <c r="CE35" s="543" t="s">
        <v>110</v>
      </c>
      <c r="CF35" s="409" t="s">
        <v>925</v>
      </c>
      <c r="CG35" s="408" t="s">
        <v>26</v>
      </c>
    </row>
    <row r="36" spans="2:85" s="412" customFormat="1" ht="31.5" customHeight="1">
      <c r="B36" s="417" t="s">
        <v>104</v>
      </c>
      <c r="C36" s="418"/>
      <c r="D36" s="418">
        <f ca="1">LEN(E36)</f>
        <v>52</v>
      </c>
      <c r="E36" s="417" t="str">
        <f ca="1" xml:space="preserve"> _xlfn.CONCAT(D17:BC17)</f>
        <v>ㄅㆠㄆㄇㄉㄊㄋㄌㄍㆣㄎㄫㄗㆡㄘㄙㄏㄐㆢㄑㄒㄧㆪㄨㆫㄚㆩㆦㆧㄜㆤㆥㆨㆬㄣㆭㆱㆰㄞㆮㄠㆯㄢㆲㄤㄥˉˋ˪ˊ˫˙</v>
      </c>
      <c r="F36" s="417"/>
      <c r="G36" s="417"/>
      <c r="H36" s="417"/>
      <c r="I36" s="417"/>
      <c r="J36" s="417"/>
      <c r="K36" s="417"/>
      <c r="L36" s="417"/>
      <c r="M36" s="417"/>
      <c r="N36" s="417"/>
      <c r="O36" s="417"/>
      <c r="P36" s="417"/>
      <c r="Q36" s="417"/>
      <c r="R36" s="417"/>
      <c r="S36" s="417"/>
      <c r="T36" s="417"/>
      <c r="U36" s="417"/>
      <c r="V36" s="417"/>
      <c r="W36" s="417"/>
      <c r="X36" s="417"/>
      <c r="Y36" s="417"/>
      <c r="Z36" s="417"/>
      <c r="AA36" s="417"/>
      <c r="AB36" s="417"/>
      <c r="AC36" s="417"/>
      <c r="AD36" s="417"/>
      <c r="AE36" s="417"/>
      <c r="AF36" s="417"/>
      <c r="AG36" s="417"/>
      <c r="AH36" s="417"/>
      <c r="AI36" s="417"/>
      <c r="AJ36" s="417"/>
      <c r="AK36" s="406"/>
      <c r="AL36" s="406"/>
      <c r="AM36" s="406"/>
      <c r="AN36" s="406"/>
      <c r="AO36" s="406"/>
      <c r="AP36" s="406"/>
      <c r="AQ36" s="406"/>
      <c r="AR36" s="406"/>
      <c r="AS36" s="406"/>
      <c r="AT36" s="406"/>
      <c r="AU36" s="406"/>
      <c r="AV36" s="406"/>
      <c r="AW36" s="406"/>
      <c r="AX36" s="406"/>
      <c r="AY36" s="406"/>
      <c r="AZ36" s="406"/>
      <c r="BA36" s="406"/>
      <c r="BB36" s="406"/>
      <c r="BC36" s="406"/>
      <c r="BD36" s="413"/>
      <c r="BE36" s="413"/>
      <c r="BF36" s="413"/>
      <c r="BG36" s="413"/>
      <c r="BH36" s="413"/>
      <c r="BI36" s="411">
        <v>33</v>
      </c>
      <c r="BJ36" s="543" t="str" cm="1">
        <f t="array" aca="1" ref="BJ36" ca="1" xml:space="preserve"> INDIRECT( ADDRESS( ROW($C$17), COLUMN($C$17) +$BI36) )</f>
        <v>ㆨ</v>
      </c>
      <c r="BK36" s="409" t="str" cm="1">
        <f t="array" aca="1" ref="BK36" ca="1" xml:space="preserve"> INDIRECT( ADDRESS( ROW($C$19), COLUMN($C$19) +$BI36) )</f>
        <v>ir</v>
      </c>
      <c r="BL36" s="408" t="str" cm="1">
        <f t="array" aca="1" ref="BL36" ca="1" xml:space="preserve"> INDIRECT( ADDRESS( ROW($C$18), COLUMN($C$18) +$BI36) )</f>
        <v>w</v>
      </c>
      <c r="BM36" s="407" t="str" cm="1">
        <f t="array" aca="1" ref="BM36" ca="1" xml:space="preserve"> INDIRECT( ADDRESS( ROW($C$16), COLUMN($C$16) +$BI36) )</f>
        <v>o</v>
      </c>
      <c r="BO36" s="517" t="str">
        <f t="shared" ca="1" si="0"/>
        <v>"o": { commit: "ㆨ" }</v>
      </c>
      <c r="BQ36" s="161">
        <v>33</v>
      </c>
      <c r="BR36" s="294" t="s">
        <v>180</v>
      </c>
      <c r="BS36" s="294">
        <v>33</v>
      </c>
      <c r="BT36" s="529" t="s">
        <v>902</v>
      </c>
      <c r="BU36" s="512">
        <v>33</v>
      </c>
      <c r="BV36" s="512" t="s">
        <v>113</v>
      </c>
      <c r="BX36" s="536">
        <f t="shared" si="1"/>
        <v>33</v>
      </c>
      <c r="BY36" s="537" t="s">
        <v>113</v>
      </c>
      <c r="BZ36" s="226" t="s">
        <v>232</v>
      </c>
      <c r="CA36" s="225" t="s">
        <v>267</v>
      </c>
      <c r="CD36" s="411">
        <f t="shared" si="2"/>
        <v>33</v>
      </c>
      <c r="CE36" s="543" t="s">
        <v>22</v>
      </c>
      <c r="CF36" s="409" t="s">
        <v>372</v>
      </c>
      <c r="CG36" s="408" t="s">
        <v>175</v>
      </c>
    </row>
    <row r="37" spans="2:85" s="412" customFormat="1" ht="31.5" customHeight="1">
      <c r="B37" s="416" t="str">
        <f ca="1" xml:space="preserve"> "- xlit|" &amp; E35 &amp; "|" &amp; E36 &amp; "|"</f>
        <v>- xlit|pbPmtTnlkgKwzjcshZJCSiIuUaAOQoeEwMNr}{yYxX@][R123570|ㄅㆠㄆㄇㄉㄊㄋㄌㄍㆣㄎㄫㄗㆡㄘㄙㄏㄐㆢㄑㄒㄧㆪㄨㆫㄚㆩㆦㆧㄜㆤㆥㆨㆬㄣㆭㆱㆰㄞㆮㄠㆯㄢㆲㄤㄥˉˋ˪ˊ˫˙|</v>
      </c>
      <c r="C37" s="415"/>
      <c r="D37" s="415"/>
      <c r="E37" s="415"/>
      <c r="F37" s="415"/>
      <c r="G37" s="415"/>
      <c r="H37" s="415"/>
      <c r="I37" s="415"/>
      <c r="J37" s="415"/>
      <c r="K37" s="415"/>
      <c r="L37" s="415"/>
      <c r="M37" s="415"/>
      <c r="N37" s="415"/>
      <c r="O37" s="415"/>
      <c r="P37" s="415"/>
      <c r="Q37" s="415"/>
      <c r="R37" s="415"/>
      <c r="S37" s="415"/>
      <c r="T37" s="415"/>
      <c r="U37" s="415"/>
      <c r="V37" s="415"/>
      <c r="W37" s="415"/>
      <c r="X37" s="415"/>
      <c r="Y37" s="415"/>
      <c r="Z37" s="415"/>
      <c r="AA37" s="415"/>
      <c r="AB37" s="415"/>
      <c r="AC37" s="415"/>
      <c r="AD37" s="415"/>
      <c r="AE37" s="415"/>
      <c r="AF37" s="415"/>
      <c r="AG37" s="414"/>
      <c r="AH37" s="414"/>
      <c r="AI37" s="414"/>
      <c r="AJ37" s="414"/>
      <c r="AK37" s="406"/>
      <c r="AL37" s="406"/>
      <c r="AM37" s="406"/>
      <c r="AN37" s="406"/>
      <c r="AO37" s="406"/>
      <c r="AP37" s="406"/>
      <c r="AQ37" s="406"/>
      <c r="AR37" s="406"/>
      <c r="AS37" s="406"/>
      <c r="AT37" s="406"/>
      <c r="AU37" s="406"/>
      <c r="AV37" s="406"/>
      <c r="AW37" s="406"/>
      <c r="AX37" s="406"/>
      <c r="AY37" s="406"/>
      <c r="AZ37" s="406"/>
      <c r="BA37" s="406"/>
      <c r="BB37" s="406"/>
      <c r="BC37" s="406"/>
      <c r="BD37" s="413"/>
      <c r="BE37" s="413"/>
      <c r="BF37" s="413"/>
      <c r="BG37" s="413"/>
      <c r="BH37" s="413"/>
      <c r="BI37" s="411">
        <v>34</v>
      </c>
      <c r="BJ37" s="543" t="str" cm="1">
        <f t="array" aca="1" ref="BJ37" ca="1" xml:space="preserve"> INDIRECT( ADDRESS( ROW($C$17), COLUMN($C$17) +$BI37) )</f>
        <v>ㆬ</v>
      </c>
      <c r="BK37" s="409" t="str" cm="1">
        <f t="array" aca="1" ref="BK37" ca="1" xml:space="preserve"> INDIRECT( ADDRESS( ROW($C$19), COLUMN($C$19) +$BI37) )</f>
        <v>-m</v>
      </c>
      <c r="BL37" s="408" t="str" cm="1">
        <f t="array" aca="1" ref="BL37" ca="1" xml:space="preserve"> INDIRECT( ADDRESS( ROW($C$18), COLUMN($C$18) +$BI37) )</f>
        <v>M</v>
      </c>
      <c r="BM37" s="407" t="str" cm="1">
        <f t="array" aca="1" ref="BM37" ca="1" xml:space="preserve"> INDIRECT( ADDRESS( ROW($C$16), COLUMN($C$16) +$BI37) )</f>
        <v>m</v>
      </c>
      <c r="BO37" s="517" t="str">
        <f t="shared" ca="1" si="0"/>
        <v>"m": { commit: "ㆬ" }</v>
      </c>
      <c r="BQ37" s="161">
        <v>34</v>
      </c>
      <c r="BR37" s="294" t="s">
        <v>181</v>
      </c>
      <c r="BS37" s="294">
        <v>34</v>
      </c>
      <c r="BT37" s="529" t="s">
        <v>903</v>
      </c>
      <c r="BU37" s="512">
        <v>34</v>
      </c>
      <c r="BV37" s="512" t="s">
        <v>114</v>
      </c>
      <c r="BX37" s="536">
        <f t="shared" si="1"/>
        <v>34</v>
      </c>
      <c r="BY37" s="537" t="s">
        <v>114</v>
      </c>
      <c r="BZ37" s="226" t="s">
        <v>512</v>
      </c>
      <c r="CA37" s="225" t="s">
        <v>584</v>
      </c>
      <c r="CD37" s="411">
        <f t="shared" si="2"/>
        <v>34</v>
      </c>
      <c r="CE37" s="543" t="s">
        <v>111</v>
      </c>
      <c r="CF37" s="409" t="s">
        <v>926</v>
      </c>
      <c r="CG37" s="408" t="s">
        <v>29</v>
      </c>
    </row>
    <row r="38" spans="2:85" s="412" customFormat="1" ht="31.5" customHeight="1">
      <c r="B38" s="406"/>
      <c r="C38" s="406"/>
      <c r="D38" s="406"/>
      <c r="E38" s="406"/>
      <c r="F38" s="406"/>
      <c r="G38" s="406"/>
      <c r="H38" s="406"/>
      <c r="I38" s="406"/>
      <c r="J38" s="406"/>
      <c r="K38" s="406"/>
      <c r="L38" s="406"/>
      <c r="M38" s="406"/>
      <c r="N38" s="406"/>
      <c r="O38" s="406"/>
      <c r="P38" s="406"/>
      <c r="Q38" s="406"/>
      <c r="R38" s="406"/>
      <c r="S38" s="406"/>
      <c r="T38" s="406"/>
      <c r="U38" s="406"/>
      <c r="V38" s="406"/>
      <c r="W38" s="406"/>
      <c r="X38" s="406"/>
      <c r="Y38" s="406"/>
      <c r="Z38" s="406"/>
      <c r="AA38" s="406"/>
      <c r="AB38" s="406"/>
      <c r="AC38" s="406"/>
      <c r="AD38" s="406"/>
      <c r="AE38" s="406"/>
      <c r="AF38" s="406"/>
      <c r="AG38" s="406"/>
      <c r="AH38" s="406"/>
      <c r="AI38" s="406"/>
      <c r="AJ38" s="406"/>
      <c r="AK38" s="406"/>
      <c r="AL38" s="406"/>
      <c r="AM38" s="406"/>
      <c r="AN38" s="406"/>
      <c r="AO38" s="406"/>
      <c r="AP38" s="406"/>
      <c r="AQ38" s="406"/>
      <c r="AR38" s="406"/>
      <c r="AS38" s="406"/>
      <c r="AT38" s="406"/>
      <c r="AU38" s="406"/>
      <c r="AV38" s="406"/>
      <c r="AW38" s="406"/>
      <c r="AX38" s="406"/>
      <c r="AY38" s="406"/>
      <c r="AZ38" s="406"/>
      <c r="BA38" s="406"/>
      <c r="BB38" s="406"/>
      <c r="BC38" s="406"/>
      <c r="BD38" s="413"/>
      <c r="BE38" s="413"/>
      <c r="BF38" s="413"/>
      <c r="BG38" s="413"/>
      <c r="BH38" s="413"/>
      <c r="BI38" s="411">
        <v>35</v>
      </c>
      <c r="BJ38" s="543" t="str" cm="1">
        <f t="array" aca="1" ref="BJ38" ca="1" xml:space="preserve"> INDIRECT( ADDRESS( ROW($C$17), COLUMN($C$17) +$BI38) )</f>
        <v>ㄣ</v>
      </c>
      <c r="BK38" s="409" t="str" cm="1">
        <f t="array" aca="1" ref="BK38" ca="1" xml:space="preserve"> INDIRECT( ADDRESS( ROW($C$19), COLUMN($C$19) +$BI38) )</f>
        <v>-n</v>
      </c>
      <c r="BL38" s="408" t="str" cm="1">
        <f t="array" aca="1" ref="BL38" ca="1" xml:space="preserve"> INDIRECT( ADDRESS( ROW($C$18), COLUMN($C$18) +$BI38) )</f>
        <v>N</v>
      </c>
      <c r="BM38" s="407" t="str" cm="1">
        <f t="array" aca="1" ref="BM38" ca="1" xml:space="preserve"> INDIRECT( ADDRESS( ROW($C$16), COLUMN($C$16) +$BI38) )</f>
        <v>p</v>
      </c>
      <c r="BO38" s="517" t="str">
        <f t="shared" ca="1" si="0"/>
        <v>"p": { commit: "ㄣ" }</v>
      </c>
      <c r="BQ38" s="161">
        <v>35</v>
      </c>
      <c r="BR38" s="294" t="s">
        <v>66</v>
      </c>
      <c r="BS38" s="294">
        <v>35</v>
      </c>
      <c r="BT38" s="529" t="s">
        <v>87</v>
      </c>
      <c r="BU38" s="512">
        <v>35</v>
      </c>
      <c r="BV38" s="512" t="s">
        <v>100</v>
      </c>
      <c r="BX38" s="536">
        <f t="shared" si="1"/>
        <v>35</v>
      </c>
      <c r="BY38" s="537" t="s">
        <v>100</v>
      </c>
      <c r="BZ38" s="226" t="s">
        <v>217</v>
      </c>
      <c r="CA38" s="225" t="s">
        <v>586</v>
      </c>
      <c r="CD38" s="411">
        <f t="shared" si="2"/>
        <v>35</v>
      </c>
      <c r="CE38" s="543" t="s">
        <v>80</v>
      </c>
      <c r="CF38" s="409" t="s">
        <v>375</v>
      </c>
      <c r="CG38" s="408" t="s">
        <v>171</v>
      </c>
    </row>
    <row r="39" spans="2:85" ht="31.5" customHeight="1">
      <c r="B39" s="406"/>
      <c r="C39" s="406"/>
      <c r="D39" s="406"/>
      <c r="E39" s="406"/>
      <c r="F39" s="406"/>
      <c r="G39" s="406"/>
      <c r="H39" s="406"/>
      <c r="I39" s="406"/>
      <c r="J39" s="406"/>
      <c r="K39" s="406"/>
      <c r="L39" s="406"/>
      <c r="M39" s="406"/>
      <c r="N39" s="406"/>
      <c r="O39" s="406"/>
      <c r="P39" s="406"/>
      <c r="Q39" s="406"/>
      <c r="R39" s="406"/>
      <c r="S39" s="406"/>
      <c r="T39" s="406"/>
      <c r="U39" s="406"/>
      <c r="V39" s="406"/>
      <c r="W39" s="406"/>
      <c r="X39" s="406"/>
      <c r="Y39" s="406"/>
      <c r="Z39" s="406"/>
      <c r="AA39" s="406"/>
      <c r="AB39" s="406"/>
      <c r="AC39" s="406"/>
      <c r="AD39" s="406"/>
      <c r="AE39" s="406"/>
      <c r="AF39" s="406"/>
      <c r="AG39" s="406"/>
      <c r="AH39" s="406"/>
      <c r="AI39" s="406"/>
      <c r="AJ39" s="406"/>
      <c r="AK39" s="406"/>
      <c r="AL39" s="406"/>
      <c r="AM39" s="406"/>
      <c r="AN39" s="406"/>
      <c r="AO39" s="406"/>
      <c r="AP39" s="406"/>
      <c r="AQ39" s="406"/>
      <c r="AR39" s="406"/>
      <c r="AS39" s="406"/>
      <c r="AT39" s="406"/>
      <c r="AU39" s="406"/>
      <c r="AV39" s="406"/>
      <c r="AW39" s="406"/>
      <c r="AX39" s="406"/>
      <c r="AY39" s="406"/>
      <c r="AZ39" s="406"/>
      <c r="BA39" s="406"/>
      <c r="BB39" s="406"/>
      <c r="BC39" s="406"/>
      <c r="BD39" s="406"/>
      <c r="BE39" s="406"/>
      <c r="BF39" s="406"/>
      <c r="BG39" s="406"/>
      <c r="BH39" s="406"/>
      <c r="BI39" s="411">
        <v>36</v>
      </c>
      <c r="BJ39" s="543" t="str" cm="1">
        <f t="array" aca="1" ref="BJ39" ca="1" xml:space="preserve"> INDIRECT( ADDRESS( ROW($C$17), COLUMN($C$17) +$BI39) )</f>
        <v>ㆭ</v>
      </c>
      <c r="BK39" s="409" t="str" cm="1">
        <f t="array" aca="1" ref="BK39" ca="1" xml:space="preserve"> INDIRECT( ADDRESS( ROW($C$19), COLUMN($C$19) +$BI39) )</f>
        <v>-ng</v>
      </c>
      <c r="BL39" s="408" t="str" cm="1">
        <f t="array" aca="1" ref="BL39" ca="1" xml:space="preserve"> INDIRECT( ADDRESS( ROW($C$18), COLUMN($C$18) +$BI39) )</f>
        <v>r</v>
      </c>
      <c r="BM39" s="407" t="str" cm="1">
        <f t="array" aca="1" ref="BM39" ca="1" xml:space="preserve"> INDIRECT( ADDRESS( ROW($C$16), COLUMN($C$16) +$BI39) )</f>
        <v>/</v>
      </c>
      <c r="BO39" s="517" t="str">
        <f t="shared" ca="1" si="0"/>
        <v>"/": { commit: "ㆭ" }</v>
      </c>
      <c r="BQ39" s="161">
        <v>36</v>
      </c>
      <c r="BR39" s="294" t="s">
        <v>182</v>
      </c>
      <c r="BS39" s="294">
        <v>36</v>
      </c>
      <c r="BT39" s="529" t="s">
        <v>915</v>
      </c>
      <c r="BU39" s="512">
        <v>36</v>
      </c>
      <c r="BV39" s="512" t="s">
        <v>23</v>
      </c>
      <c r="BX39" s="536">
        <f t="shared" si="1"/>
        <v>36</v>
      </c>
      <c r="BY39" s="537" t="s">
        <v>23</v>
      </c>
      <c r="BZ39" s="226" t="s">
        <v>73</v>
      </c>
      <c r="CA39" s="225" t="s">
        <v>266</v>
      </c>
      <c r="CD39" s="411">
        <f t="shared" si="2"/>
        <v>36</v>
      </c>
      <c r="CE39" s="543" t="s">
        <v>112</v>
      </c>
      <c r="CF39" s="409" t="s">
        <v>927</v>
      </c>
      <c r="CG39" s="408" t="s">
        <v>82</v>
      </c>
    </row>
    <row r="40" spans="2:85" ht="31.5" customHeight="1">
      <c r="B40" s="463" t="s">
        <v>103</v>
      </c>
      <c r="C40" s="462"/>
      <c r="D40" s="461" cm="1">
        <f t="array" ref="D40" xml:space="preserve"> COLUMN() - COLUMN($C:$C)</f>
        <v>1</v>
      </c>
      <c r="E40" s="461" cm="1">
        <f t="array" ref="E40" xml:space="preserve"> COLUMN() - COLUMN($C:$C)</f>
        <v>2</v>
      </c>
      <c r="F40" s="461" cm="1">
        <f t="array" ref="F40" xml:space="preserve"> COLUMN() - COLUMN($C:$C)</f>
        <v>3</v>
      </c>
      <c r="G40" s="461" cm="1">
        <f t="array" ref="G40" xml:space="preserve"> COLUMN() - COLUMN($C:$C)</f>
        <v>4</v>
      </c>
      <c r="H40" s="461" cm="1">
        <f t="array" ref="H40" xml:space="preserve"> COLUMN() - COLUMN($C:$C)</f>
        <v>5</v>
      </c>
      <c r="I40" s="461" cm="1">
        <f t="array" ref="I40" xml:space="preserve"> COLUMN() - COLUMN($C:$C)</f>
        <v>6</v>
      </c>
      <c r="J40" s="461" cm="1">
        <f t="array" ref="J40" xml:space="preserve"> COLUMN() - COLUMN($C:$C)</f>
        <v>7</v>
      </c>
      <c r="K40" s="461" cm="1">
        <f t="array" ref="K40" xml:space="preserve"> COLUMN() - COLUMN($C:$C)</f>
        <v>8</v>
      </c>
      <c r="L40" s="461" cm="1">
        <f t="array" ref="L40" xml:space="preserve"> COLUMN() - COLUMN($C:$C)</f>
        <v>9</v>
      </c>
      <c r="M40" s="461" cm="1">
        <f t="array" ref="M40" xml:space="preserve"> COLUMN() - COLUMN($C:$C)</f>
        <v>10</v>
      </c>
      <c r="N40" s="461" cm="1">
        <f t="array" ref="N40" xml:space="preserve"> COLUMN() - COLUMN($C:$C)</f>
        <v>11</v>
      </c>
      <c r="O40" s="461" cm="1">
        <f t="array" ref="O40" xml:space="preserve"> COLUMN() - COLUMN($C:$C)</f>
        <v>12</v>
      </c>
      <c r="P40" s="461" cm="1">
        <f t="array" ref="P40" xml:space="preserve"> COLUMN() - COLUMN($C:$C)</f>
        <v>13</v>
      </c>
      <c r="Q40" s="461" cm="1">
        <f t="array" ref="Q40" xml:space="preserve"> COLUMN() - COLUMN($C:$C)</f>
        <v>14</v>
      </c>
      <c r="R40" s="461" cm="1">
        <f t="array" ref="R40" xml:space="preserve"> COLUMN() - COLUMN($C:$C)</f>
        <v>15</v>
      </c>
      <c r="S40" s="461" cm="1">
        <f t="array" ref="S40" xml:space="preserve"> COLUMN() - COLUMN($C:$C)</f>
        <v>16</v>
      </c>
      <c r="T40" s="461" cm="1">
        <f t="array" ref="T40" xml:space="preserve"> COLUMN() - COLUMN($C:$C)</f>
        <v>17</v>
      </c>
      <c r="U40" s="461" cm="1">
        <f t="array" ref="U40" xml:space="preserve"> COLUMN() - COLUMN($C:$C)</f>
        <v>18</v>
      </c>
      <c r="V40" s="461" cm="1">
        <f t="array" ref="V40" xml:space="preserve"> COLUMN() - COLUMN($C:$C)</f>
        <v>19</v>
      </c>
      <c r="W40" s="461" cm="1">
        <f t="array" ref="W40" xml:space="preserve"> COLUMN() - COLUMN($C:$C)</f>
        <v>20</v>
      </c>
      <c r="X40" s="461" cm="1">
        <f t="array" ref="X40" xml:space="preserve"> COLUMN() - COLUMN($C:$C)</f>
        <v>21</v>
      </c>
      <c r="Y40" s="460" cm="1">
        <f t="array" ref="Y40" xml:space="preserve"> COLUMN() - COLUMN($C:$C)</f>
        <v>22</v>
      </c>
      <c r="Z40" s="460" cm="1">
        <f t="array" ref="Z40" xml:space="preserve"> COLUMN() - COLUMN($C:$C)</f>
        <v>23</v>
      </c>
      <c r="AA40" s="460" cm="1">
        <f t="array" ref="AA40" xml:space="preserve"> COLUMN() - COLUMN($C:$C)</f>
        <v>24</v>
      </c>
      <c r="AB40" s="460" cm="1">
        <f t="array" ref="AB40" xml:space="preserve"> COLUMN() - COLUMN($C:$C)</f>
        <v>25</v>
      </c>
      <c r="AC40" s="460" cm="1">
        <f t="array" ref="AC40" xml:space="preserve"> COLUMN() - COLUMN($C:$C)</f>
        <v>26</v>
      </c>
      <c r="AD40" s="460" cm="1">
        <f t="array" ref="AD40" xml:space="preserve"> COLUMN() - COLUMN($C:$C)</f>
        <v>27</v>
      </c>
      <c r="AE40" s="460" cm="1">
        <f t="array" ref="AE40" xml:space="preserve"> COLUMN() - COLUMN($C:$C)</f>
        <v>28</v>
      </c>
      <c r="AF40" s="460" cm="1">
        <f t="array" ref="AF40" xml:space="preserve"> COLUMN() - COLUMN($C:$C)</f>
        <v>29</v>
      </c>
      <c r="AG40" s="460" cm="1">
        <f t="array" ref="AG40" xml:space="preserve"> COLUMN() - COLUMN($C:$C)</f>
        <v>30</v>
      </c>
      <c r="AH40" s="460" cm="1">
        <f t="array" ref="AH40" xml:space="preserve"> COLUMN() - COLUMN($C:$C)</f>
        <v>31</v>
      </c>
      <c r="AI40" s="460" cm="1">
        <f t="array" ref="AI40" xml:space="preserve"> COLUMN() - COLUMN($C:$C)</f>
        <v>32</v>
      </c>
      <c r="AJ40" s="460" cm="1">
        <f t="array" ref="AJ40" xml:space="preserve"> COLUMN() - COLUMN($C:$C)</f>
        <v>33</v>
      </c>
      <c r="AK40" s="460" cm="1">
        <f t="array" ref="AK40" xml:space="preserve"> COLUMN() - COLUMN($C:$C)</f>
        <v>34</v>
      </c>
      <c r="AL40" s="460" cm="1">
        <f t="array" ref="AL40" xml:space="preserve"> COLUMN() - COLUMN($C:$C)</f>
        <v>35</v>
      </c>
      <c r="AM40" s="460" cm="1">
        <f t="array" ref="AM40" xml:space="preserve"> COLUMN() - COLUMN($C:$C)</f>
        <v>36</v>
      </c>
      <c r="AN40" s="460" cm="1">
        <f t="array" ref="AN40" xml:space="preserve"> COLUMN() - COLUMN($C:$C)</f>
        <v>37</v>
      </c>
      <c r="AO40" s="460" cm="1">
        <f t="array" ref="AO40" xml:space="preserve"> COLUMN() - COLUMN($C:$C)</f>
        <v>38</v>
      </c>
      <c r="AP40" s="460" cm="1">
        <f t="array" ref="AP40" xml:space="preserve"> COLUMN() - COLUMN($C:$C)</f>
        <v>39</v>
      </c>
      <c r="AQ40" s="460" cm="1">
        <f t="array" ref="AQ40" xml:space="preserve"> COLUMN() - COLUMN($C:$C)</f>
        <v>40</v>
      </c>
      <c r="AR40" s="460" cm="1">
        <f t="array" ref="AR40" xml:space="preserve"> COLUMN() - COLUMN($C:$C)</f>
        <v>41</v>
      </c>
      <c r="AS40" s="460" cm="1">
        <f t="array" ref="AS40" xml:space="preserve"> COLUMN() - COLUMN($C:$C)</f>
        <v>42</v>
      </c>
      <c r="AT40" s="460" cm="1">
        <f t="array" ref="AT40" xml:space="preserve"> COLUMN() - COLUMN($C:$C)</f>
        <v>43</v>
      </c>
      <c r="AU40" s="460" cm="1">
        <f t="array" ref="AU40" xml:space="preserve"> COLUMN() - COLUMN($C:$C)</f>
        <v>44</v>
      </c>
      <c r="AV40" s="460" cm="1">
        <f t="array" ref="AV40" xml:space="preserve"> COLUMN() - COLUMN($C:$C)</f>
        <v>45</v>
      </c>
      <c r="AW40" s="459" cm="1">
        <f t="array" ref="AW40" xml:space="preserve"> COLUMN() - COLUMN($C:$C)</f>
        <v>46</v>
      </c>
      <c r="AX40" s="459" cm="1">
        <f t="array" ref="AX40" xml:space="preserve"> COLUMN() - COLUMN($C:$C)</f>
        <v>47</v>
      </c>
      <c r="AY40" s="459" cm="1">
        <f t="array" ref="AY40" xml:space="preserve"> COLUMN() - COLUMN($C:$C)</f>
        <v>48</v>
      </c>
      <c r="AZ40" s="459" cm="1">
        <f t="array" ref="AZ40" xml:space="preserve"> COLUMN() - COLUMN($C:$C)</f>
        <v>49</v>
      </c>
      <c r="BA40" s="459" cm="1">
        <f t="array" ref="BA40" xml:space="preserve"> COLUMN() - COLUMN($C:$C)</f>
        <v>50</v>
      </c>
      <c r="BB40" s="459" cm="1">
        <f t="array" ref="BB40" xml:space="preserve"> COLUMN() - COLUMN($C:$C)</f>
        <v>51</v>
      </c>
      <c r="BC40" s="460" cm="1">
        <f t="array" ref="BC40" xml:space="preserve"> COLUMN() - COLUMN($C:$C)</f>
        <v>52</v>
      </c>
      <c r="BD40" s="459" cm="1">
        <f t="array" ref="BD40" xml:space="preserve"> COLUMN() - COLUMN($C:$C)</f>
        <v>53</v>
      </c>
      <c r="BE40" s="459" cm="1">
        <f t="array" ref="BE40" xml:space="preserve"> COLUMN() - COLUMN($C:$C)</f>
        <v>54</v>
      </c>
      <c r="BF40" s="459" cm="1">
        <f t="array" ref="BF40" xml:space="preserve"> COLUMN() - COLUMN($C:$C)</f>
        <v>55</v>
      </c>
      <c r="BG40" s="406"/>
      <c r="BH40" s="406"/>
      <c r="BI40" s="411">
        <v>37</v>
      </c>
      <c r="BJ40" s="543" t="str" cm="1">
        <f t="array" aca="1" ref="BJ40" ca="1" xml:space="preserve"> INDIRECT( ADDRESS( ROW($C$17), COLUMN($C$17) +$BI40) )</f>
        <v>ㆱ</v>
      </c>
      <c r="BK40" s="409" t="str" cm="1">
        <f t="array" aca="1" ref="BK40" ca="1" xml:space="preserve"> INDIRECT( ADDRESS( ROW($C$19), COLUMN($C$19) +$BI40) )</f>
        <v>om</v>
      </c>
      <c r="BL40" s="408" t="str" cm="1">
        <f t="array" aca="1" ref="BL40" ca="1" xml:space="preserve"> INDIRECT( ADDRESS( ROW($C$18), COLUMN($C$18) +$BI40) )</f>
        <v>}</v>
      </c>
      <c r="BM40" s="407" t="str" cm="1">
        <f t="array" aca="1" ref="BM40" ca="1" xml:space="preserve"> INDIRECT( ADDRESS( ROW($C$16), COLUMN($C$16) +$BI40) )</f>
        <v>&gt;</v>
      </c>
      <c r="BO40" s="517" t="str">
        <f t="shared" ca="1" si="0"/>
        <v>"&gt;": { commit: "ㆱ" }</v>
      </c>
      <c r="BQ40" s="161">
        <v>37</v>
      </c>
      <c r="BR40" s="294" t="s">
        <v>9</v>
      </c>
      <c r="BS40" s="294">
        <v>37</v>
      </c>
      <c r="BT40" s="529" t="s">
        <v>86</v>
      </c>
      <c r="BU40" s="512">
        <v>37</v>
      </c>
      <c r="BV40" s="512" t="s">
        <v>54</v>
      </c>
      <c r="BX40" s="536">
        <f t="shared" si="1"/>
        <v>37</v>
      </c>
      <c r="BY40" s="537" t="s">
        <v>54</v>
      </c>
      <c r="BZ40" s="226" t="s">
        <v>503</v>
      </c>
      <c r="CA40" s="225" t="s">
        <v>588</v>
      </c>
      <c r="CD40" s="411">
        <f t="shared" si="2"/>
        <v>37</v>
      </c>
      <c r="CE40" s="543" t="s">
        <v>100</v>
      </c>
      <c r="CF40" s="409" t="s">
        <v>806</v>
      </c>
      <c r="CG40" s="408" t="s">
        <v>87</v>
      </c>
    </row>
    <row r="41" spans="2:85" ht="31.5" customHeight="1">
      <c r="B41" s="457" t="s">
        <v>167</v>
      </c>
      <c r="C41" s="456"/>
      <c r="D41" s="454" t="str" cm="1">
        <f t="array" aca="1" ref="D41" ca="1">INDIRECT(ADDRESS(ROW($BR$4)+D$40-1, COLUMN($BR$4)))</f>
        <v>1</v>
      </c>
      <c r="E41" s="454" t="str" cm="1">
        <f t="array" aca="1" ref="E41" ca="1">INDIRECT(ADDRESS(ROW($BR$4)+E$40-1, COLUMN($BR$4)))</f>
        <v>!</v>
      </c>
      <c r="F41" s="454" t="str" cm="1">
        <f t="array" aca="1" ref="F41" ca="1">INDIRECT(ADDRESS(ROW($BR$4)+F$40-1, COLUMN($BR$4)))</f>
        <v>q</v>
      </c>
      <c r="G41" s="454" t="str" cm="1">
        <f t="array" aca="1" ref="G41" ca="1">INDIRECT(ADDRESS(ROW($BR$4)+G$40-1, COLUMN($BR$4)))</f>
        <v>a</v>
      </c>
      <c r="H41" s="454" t="str" cm="1">
        <f t="array" aca="1" ref="H41" ca="1">INDIRECT(ADDRESS(ROW($BR$4)+H$40-1, COLUMN($BR$4)))</f>
        <v>2</v>
      </c>
      <c r="I41" s="454" t="str" cm="1">
        <f t="array" aca="1" ref="I41" ca="1">INDIRECT(ADDRESS(ROW($BR$4)+I$40-1, COLUMN($BR$4)))</f>
        <v>w</v>
      </c>
      <c r="J41" s="454" t="str" cm="1">
        <f t="array" aca="1" ref="J41" ca="1">INDIRECT(ADDRESS(ROW($BR$4)+J$40-1, COLUMN($BR$4)))</f>
        <v>s</v>
      </c>
      <c r="K41" s="454" t="str" cm="1">
        <f t="array" aca="1" ref="K41" ca="1">INDIRECT(ADDRESS(ROW($BR$4)+K$40-1, COLUMN($BR$4)))</f>
        <v>x</v>
      </c>
      <c r="L41" s="454" t="str" cm="1">
        <f t="array" aca="1" ref="L41" ca="1">INDIRECT(ADDRESS(ROW($BR$4)+L$40-1, COLUMN($BR$4)))</f>
        <v>e</v>
      </c>
      <c r="M41" s="454" t="str" cm="1">
        <f t="array" aca="1" ref="M41" ca="1">INDIRECT(ADDRESS(ROW($BR$4)+M$40-1, COLUMN($BR$4)))</f>
        <v>E</v>
      </c>
      <c r="N41" s="454" t="str" cm="1">
        <f t="array" aca="1" ref="N41" ca="1">INDIRECT(ADDRESS(ROW($BR$4)+N$40-1, COLUMN($BR$4)))</f>
        <v>d</v>
      </c>
      <c r="O41" s="454" t="str" cm="1">
        <f t="array" aca="1" ref="O41" ca="1">INDIRECT(ADDRESS(ROW($BR$4)+O$40-1, COLUMN($BR$4)))</f>
        <v>D</v>
      </c>
      <c r="P41" s="454" t="str" cm="1">
        <f t="array" aca="1" ref="P41" ca="1">INDIRECT(ADDRESS(ROW($BR$4)+P$40-1, COLUMN($BR$4)))</f>
        <v>c</v>
      </c>
      <c r="Q41" s="454" t="str" cm="1">
        <f t="array" aca="1" ref="Q41" ca="1">INDIRECT(ADDRESS(ROW($BR$4)+Q$40-1, COLUMN($BR$4)))</f>
        <v>r</v>
      </c>
      <c r="R41" s="454" t="str" cm="1">
        <f t="array" aca="1" ref="R41" ca="1">INDIRECT(ADDRESS(ROW($BR$4)+R$40-1, COLUMN($BR$4)))</f>
        <v>R</v>
      </c>
      <c r="S41" s="454" t="str" cm="1">
        <f t="array" aca="1" ref="S41" ca="1">INDIRECT(ADDRESS(ROW($BR$4)+S$40-1, COLUMN($BR$4)))</f>
        <v>f</v>
      </c>
      <c r="T41" s="454" t="str" cm="1">
        <f t="array" aca="1" ref="T41" ca="1">INDIRECT(ADDRESS(ROW($BR$4)+T$40-1, COLUMN($BR$4)))</f>
        <v>v</v>
      </c>
      <c r="U41" s="454" t="str" cm="1">
        <f t="array" aca="1" ref="U41" ca="1">INDIRECT(ADDRESS(ROW($BR$4)+U$40-1, COLUMN($BR$4)))</f>
        <v>y</v>
      </c>
      <c r="V41" s="454" t="str" cm="1">
        <f t="array" aca="1" ref="V41" ca="1">INDIRECT(ADDRESS(ROW($BR$4)+V$40-1, COLUMN($BR$4)))</f>
        <v>Y</v>
      </c>
      <c r="W41" s="454" t="str" cm="1">
        <f t="array" aca="1" ref="W41" ca="1">INDIRECT(ADDRESS(ROW($BR$4)+W$40-1, COLUMN($BR$4)))</f>
        <v>h</v>
      </c>
      <c r="X41" s="454" t="str" cm="1">
        <f t="array" aca="1" ref="X41" ca="1">INDIRECT(ADDRESS(ROW($BR$4)+X$40-1, COLUMN($BR$4)))</f>
        <v>n</v>
      </c>
      <c r="Y41" s="454" t="str" cm="1">
        <f t="array" aca="1" ref="Y41" ca="1">INDIRECT(ADDRESS(ROW($BR$4)+Y$40-1, COLUMN($BR$4)))</f>
        <v>8</v>
      </c>
      <c r="Z41" s="454" t="str" cm="1">
        <f t="array" aca="1" ref="Z41" ca="1">INDIRECT(ADDRESS(ROW($BR$4)+Z$40-1, COLUMN($BR$4)))</f>
        <v>*</v>
      </c>
      <c r="AA41" s="454" t="str" cm="1">
        <f t="array" aca="1" ref="AA41" ca="1">INDIRECT(ADDRESS(ROW($BR$4)+AA$40-1, COLUMN($BR$4)))</f>
        <v>i</v>
      </c>
      <c r="AB41" s="454" t="str" cm="1">
        <f t="array" aca="1" ref="AB41" ca="1">INDIRECT(ADDRESS(ROW($BR$4)+AB$40-1, COLUMN($BR$4)))</f>
        <v>I</v>
      </c>
      <c r="AC41" s="454" t="str" cm="1">
        <f t="array" aca="1" ref="AC41" ca="1">INDIRECT(ADDRESS(ROW($BR$4)+AC$40-1, COLUMN($BR$4)))</f>
        <v>k</v>
      </c>
      <c r="AD41" s="454" t="str" cm="1">
        <f t="array" aca="1" ref="AD41" ca="1">INDIRECT(ADDRESS(ROW($BR$4)+AD$40-1, COLUMN($BR$4)))</f>
        <v>o</v>
      </c>
      <c r="AE41" s="454" t="str" cm="1">
        <f t="array" aca="1" ref="AE41" ca="1">INDIRECT(ADDRESS(ROW($BR$4)+AE$40-1, COLUMN($BR$4)))</f>
        <v>O</v>
      </c>
      <c r="AF41" s="454" t="str" cm="1">
        <f t="array" aca="1" ref="AF41" ca="1">INDIRECT(ADDRESS(ROW($BR$4)+AF$40-1, COLUMN($BR$4)))</f>
        <v>9</v>
      </c>
      <c r="AG41" s="454" t="str" cm="1">
        <f t="array" aca="1" ref="AG41" ca="1">INDIRECT(ADDRESS(ROW($BR$4)+AG$40-1, COLUMN($BR$4)))</f>
        <v>(</v>
      </c>
      <c r="AH41" s="454" t="str" cm="1">
        <f t="array" aca="1" ref="AH41" ca="1">INDIRECT(ADDRESS(ROW($BR$4)+AH$40-1, COLUMN($BR$4)))</f>
        <v>l</v>
      </c>
      <c r="AI41" s="454" t="str" cm="1">
        <f t="array" aca="1" ref="AI41" ca="1">INDIRECT(ADDRESS(ROW($BR$4)+AI$40-1, COLUMN($BR$4)))</f>
        <v>L</v>
      </c>
      <c r="AJ41" s="454" t="str" cm="1">
        <f t="array" aca="1" ref="AJ41" ca="1">INDIRECT(ADDRESS(ROW($BR$4)+AJ$40-1, COLUMN($BR$4)))</f>
        <v>,</v>
      </c>
      <c r="AK41" s="454" t="str" cm="1">
        <f t="array" aca="1" ref="AK41" ca="1">INDIRECT(ADDRESS(ROW($BR$4)+AK$40-1, COLUMN($BR$4)))</f>
        <v>&lt;</v>
      </c>
      <c r="AL41" s="454" t="str" cm="1">
        <f t="array" aca="1" ref="AL41" ca="1">INDIRECT(ADDRESS(ROW($BR$4)+AL$40-1, COLUMN($BR$4)))</f>
        <v>m</v>
      </c>
      <c r="AM41" s="454" t="str" cm="1">
        <f t="array" aca="1" ref="AM41" ca="1">INDIRECT(ADDRESS(ROW($BR$4)+AM$40-1, COLUMN($BR$4)))</f>
        <v>0</v>
      </c>
      <c r="AN41" s="454" t="str" cm="1">
        <f t="array" aca="1" ref="AN41" ca="1">INDIRECT(ADDRESS(ROW($BR$4)+AN$40-1, COLUMN($BR$4)))</f>
        <v>p</v>
      </c>
      <c r="AO41" s="454" t="str" cm="1">
        <f t="array" aca="1" ref="AO41" ca="1">INDIRECT(ADDRESS(ROW($BR$4)+AO$40-1, COLUMN($BR$4)))</f>
        <v>;</v>
      </c>
      <c r="AP41" s="454" t="str" cm="1">
        <f t="array" aca="1" ref="AP41" ca="1">INDIRECT(ADDRESS(ROW($BR$4)+AP$40-1, COLUMN($BR$4)))</f>
        <v>:</v>
      </c>
      <c r="AQ41" s="454" t="str" cm="1">
        <f t="array" aca="1" ref="AQ41" ca="1">INDIRECT(ADDRESS(ROW($BR$4)+AQ$40-1, COLUMN($BR$4)))</f>
        <v>/</v>
      </c>
      <c r="AR41" s="454" t="str" cm="1">
        <f t="array" aca="1" ref="AR41" ca="1">INDIRECT(ADDRESS(ROW($BR$4)+AR$40-1, COLUMN($BR$4)))</f>
        <v>-</v>
      </c>
      <c r="AS41" s="454" t="str" cm="1">
        <f t="array" aca="1" ref="AS41" ca="1">INDIRECT(ADDRESS(ROW($BR$4)+AS$40-1, COLUMN($BR$4)))</f>
        <v>u</v>
      </c>
      <c r="AT41" s="454" t="str" cm="1">
        <f t="array" aca="1" ref="AT41" ca="1">INDIRECT(ADDRESS(ROW($BR$4)+AT$40-1, COLUMN($BR$4)))</f>
        <v>U</v>
      </c>
      <c r="AU41" s="454" t="str" cm="1">
        <f t="array" aca="1" ref="AU41" ca="1">INDIRECT(ADDRESS(ROW($BR$4)+AU$40-1, COLUMN($BR$4)))</f>
        <v>j</v>
      </c>
      <c r="AV41" s="454" t="str" cm="1">
        <f t="array" aca="1" ref="AV41" ca="1">INDIRECT(ADDRESS(ROW($BR$4)+AV$40-1, COLUMN($BR$4)))</f>
        <v>J</v>
      </c>
      <c r="AW41" s="454" t="str" cm="1">
        <f t="array" aca="1" ref="AW41" ca="1">INDIRECT(ADDRESS(ROW($BR$4)+AW$40-1, COLUMN($BR$4)))</f>
        <v>b</v>
      </c>
      <c r="AX41" s="454" t="str" cm="1">
        <f t="array" aca="1" ref="AX41" ca="1">INDIRECT(ADDRESS(ROW($BR$4)+AX$40-1, COLUMN($BR$4)))</f>
        <v>t</v>
      </c>
      <c r="AY41" s="454" t="str" cm="1">
        <f t="array" aca="1" ref="AY41" ca="1">INDIRECT(ADDRESS(ROW($BR$4)+AY$40-1, COLUMN($BR$4)))</f>
        <v>g</v>
      </c>
      <c r="AZ41" s="454" t="str" cm="1">
        <f t="array" aca="1" ref="AZ41" ca="1">INDIRECT(ADDRESS(ROW($BR$4)+AZ$40-1, COLUMN($BR$4)))</f>
        <v>z</v>
      </c>
      <c r="BA41" s="454" t="str" cm="1">
        <f t="array" aca="1" ref="BA41" ca="1">INDIRECT(ADDRESS(ROW($BR$4)+BA$40-1, COLUMN($BR$4)))</f>
        <v xml:space="preserve"> </v>
      </c>
      <c r="BB41" s="454" t="str" cm="1">
        <f t="array" aca="1" ref="BB41" ca="1">INDIRECT(ADDRESS(ROW($BR$4)+BB$40-1, COLUMN($BR$4)))</f>
        <v>4</v>
      </c>
      <c r="BC41" s="454" t="str" cm="1">
        <f t="array" aca="1" ref="BC41" ca="1">INDIRECT(ADDRESS(ROW($BR$4)+BC$40-1, COLUMN($BR$4)))</f>
        <v>3</v>
      </c>
      <c r="BD41" s="454" t="str" cm="1">
        <f t="array" aca="1" ref="BD41" ca="1">INDIRECT(ADDRESS(ROW($BR$4)+BD$40-1, COLUMN($BR$4)))</f>
        <v>6</v>
      </c>
      <c r="BE41" s="454" t="str" cm="1">
        <f t="array" aca="1" ref="BE41" ca="1">INDIRECT(ADDRESS(ROW($BR$4)+BE$40-1, COLUMN($BR$4)))</f>
        <v>5</v>
      </c>
      <c r="BF41" s="454" t="str" cm="1">
        <f t="array" aca="1" ref="BF41" ca="1">INDIRECT(ADDRESS(ROW($BR$4)+BF$40-1, COLUMN($BR$4)))</f>
        <v>7</v>
      </c>
      <c r="BG41" s="406"/>
      <c r="BH41" s="406"/>
      <c r="BI41" s="411">
        <v>38</v>
      </c>
      <c r="BJ41" s="543" t="str" cm="1">
        <f t="array" aca="1" ref="BJ41" ca="1" xml:space="preserve"> INDIRECT( ADDRESS( ROW($C$17), COLUMN($C$17) +$BI41) )</f>
        <v>ㆰ</v>
      </c>
      <c r="BK41" s="409" t="str" cm="1">
        <f t="array" aca="1" ref="BK41" ca="1" xml:space="preserve"> INDIRECT( ADDRESS( ROW($C$19), COLUMN($C$19) +$BI41) )</f>
        <v>am</v>
      </c>
      <c r="BL41" s="408" t="str" cm="1">
        <f t="array" aca="1" ref="BL41" ca="1" xml:space="preserve"> INDIRECT( ADDRESS( ROW($C$18), COLUMN($C$18) +$BI41) )</f>
        <v>{</v>
      </c>
      <c r="BM41" s="407" t="str" cm="1">
        <f t="array" aca="1" ref="BM41" ca="1" xml:space="preserve"> INDIRECT( ADDRESS( ROW($C$16), COLUMN($C$16) +$BI41) )</f>
        <v>.</v>
      </c>
      <c r="BO41" s="517" t="str">
        <f t="shared" ca="1" si="0"/>
        <v>".": { commit: "ㆰ" }</v>
      </c>
      <c r="BQ41" s="161">
        <v>38</v>
      </c>
      <c r="BR41" s="294" t="s">
        <v>183</v>
      </c>
      <c r="BS41" s="294">
        <v>38</v>
      </c>
      <c r="BT41" s="529" t="s">
        <v>904</v>
      </c>
      <c r="BU41" s="512">
        <v>38</v>
      </c>
      <c r="BV41" s="512" t="s">
        <v>81</v>
      </c>
      <c r="BX41" s="536">
        <f t="shared" si="1"/>
        <v>38</v>
      </c>
      <c r="BY41" s="537" t="s">
        <v>81</v>
      </c>
      <c r="BZ41" s="226" t="s">
        <v>506</v>
      </c>
      <c r="CA41" s="225" t="s">
        <v>589</v>
      </c>
      <c r="CD41" s="411">
        <f t="shared" si="2"/>
        <v>38</v>
      </c>
      <c r="CE41" s="543" t="s">
        <v>54</v>
      </c>
      <c r="CF41" s="409" t="s">
        <v>232</v>
      </c>
      <c r="CG41" s="408" t="s">
        <v>86</v>
      </c>
    </row>
    <row r="42" spans="2:85" ht="31.5" customHeight="1">
      <c r="B42" s="453" t="s">
        <v>104</v>
      </c>
      <c r="C42" s="452"/>
      <c r="D42" s="448" t="str" cm="1">
        <f t="array" aca="1" ref="D42" ca="1">INDIRECT(ADDRESS(ROW($BV$4)+D$40-1, COLUMN($BV$4)))</f>
        <v>ㄅ</v>
      </c>
      <c r="E42" s="448" t="str" cm="1">
        <f t="array" aca="1" ref="E42" ca="1">INDIRECT(ADDRESS(ROW($BV$4)+E$40-1, COLUMN($BV$4)))</f>
        <v>ㆠ</v>
      </c>
      <c r="F42" s="448" t="str" cm="1">
        <f t="array" aca="1" ref="F42" ca="1">INDIRECT(ADDRESS(ROW($BV$4)+F$40-1, COLUMN($BV$4)))</f>
        <v>ㄆ</v>
      </c>
      <c r="G42" s="448" t="str" cm="1">
        <f t="array" aca="1" ref="G42" ca="1">INDIRECT(ADDRESS(ROW($BV$4)+G$40-1, COLUMN($BV$4)))</f>
        <v>ㄇ</v>
      </c>
      <c r="H42" s="448" t="str" cm="1">
        <f t="array" aca="1" ref="H42" ca="1">INDIRECT(ADDRESS(ROW($BV$4)+H$40-1, COLUMN($BV$4)))</f>
        <v>ㄉ</v>
      </c>
      <c r="I42" s="448" t="str" cm="1">
        <f t="array" aca="1" ref="I42" ca="1">INDIRECT(ADDRESS(ROW($BV$4)+I$40-1, COLUMN($BV$4)))</f>
        <v>ㄊ</v>
      </c>
      <c r="J42" s="448" t="str" cm="1">
        <f t="array" aca="1" ref="J42" ca="1">INDIRECT(ADDRESS(ROW($BV$4)+J$40-1, COLUMN($BV$4)))</f>
        <v>ㄋ</v>
      </c>
      <c r="K42" s="448" t="str" cm="1">
        <f t="array" aca="1" ref="K42" ca="1">INDIRECT(ADDRESS(ROW($BV$4)+K$40-1, COLUMN($BV$4)))</f>
        <v>ㄌ</v>
      </c>
      <c r="L42" s="448" t="str" cm="1">
        <f t="array" aca="1" ref="L42" ca="1">INDIRECT(ADDRESS(ROW($BV$4)+L$40-1, COLUMN($BV$4)))</f>
        <v>ㄍ</v>
      </c>
      <c r="M42" s="448" t="str" cm="1">
        <f t="array" aca="1" ref="M42" ca="1">INDIRECT(ADDRESS(ROW($BV$4)+M$40-1, COLUMN($BV$4)))</f>
        <v>ㆣ</v>
      </c>
      <c r="N42" s="448" t="str" cm="1">
        <f t="array" aca="1" ref="N42" ca="1">INDIRECT(ADDRESS(ROW($BV$4)+N$40-1, COLUMN($BV$4)))</f>
        <v>ㄎ</v>
      </c>
      <c r="O42" s="448" t="str" cm="1">
        <f t="array" aca="1" ref="O42" ca="1">INDIRECT(ADDRESS(ROW($BV$4)+O$40-1, COLUMN($BV$4)))</f>
        <v>ㄫ</v>
      </c>
      <c r="P42" s="448" t="str" cm="1">
        <f t="array" aca="1" ref="P42" ca="1">INDIRECT(ADDRESS(ROW($BV$4)+P$40-1, COLUMN($BV$4)))</f>
        <v>ㄏ</v>
      </c>
      <c r="Q42" s="448" t="str" cm="1">
        <f t="array" aca="1" ref="Q42" ca="1">INDIRECT(ADDRESS(ROW($BV$4)+Q$40-1, COLUMN($BV$4)))</f>
        <v>ㄐ</v>
      </c>
      <c r="R42" s="448" t="str" cm="1">
        <f t="array" aca="1" ref="R42" ca="1">INDIRECT(ADDRESS(ROW($BV$4)+R$40-1, COLUMN($BV$4)))</f>
        <v>ㆢ</v>
      </c>
      <c r="S42" s="448" t="str" cm="1">
        <f t="array" aca="1" ref="S42" ca="1">INDIRECT(ADDRESS(ROW($BV$4)+S$40-1, COLUMN($BV$4)))</f>
        <v>ㄑ</v>
      </c>
      <c r="T42" s="448" t="str" cm="1">
        <f t="array" aca="1" ref="T42" ca="1">INDIRECT(ADDRESS(ROW($BV$4)+T$40-1, COLUMN($BV$4)))</f>
        <v>ㄒ</v>
      </c>
      <c r="U42" s="448" t="str" cm="1">
        <f t="array" aca="1" ref="U42" ca="1">INDIRECT(ADDRESS(ROW($BV$4)+U$40-1, COLUMN($BV$4)))</f>
        <v>ㄗ</v>
      </c>
      <c r="V42" s="448" t="str" cm="1">
        <f t="array" aca="1" ref="V42" ca="1">INDIRECT(ADDRESS(ROW($BV$4)+V$40-1, COLUMN($BV$4)))</f>
        <v>ㆡ</v>
      </c>
      <c r="W42" s="448" t="str" cm="1">
        <f t="array" aca="1" ref="W42" ca="1">INDIRECT(ADDRESS(ROW($BV$4)+W$40-1, COLUMN($BV$4)))</f>
        <v>ㄘ</v>
      </c>
      <c r="X42" s="448" t="str" cm="1">
        <f t="array" aca="1" ref="X42" ca="1">INDIRECT(ADDRESS(ROW($BV$4)+X$40-1, COLUMN($BV$4)))</f>
        <v>ㄙ</v>
      </c>
      <c r="Y42" s="448" t="str" cm="1">
        <f t="array" aca="1" ref="Y42" ca="1">INDIRECT(ADDRESS(ROW($BV$4)+Y$40-1, COLUMN($BV$4)))</f>
        <v>ㄚ</v>
      </c>
      <c r="Z42" s="448" t="str" cm="1">
        <f t="array" aca="1" ref="Z42" ca="1">INDIRECT(ADDRESS(ROW($BV$4)+Z$40-1, COLUMN($BV$4)))</f>
        <v>ㆩ</v>
      </c>
      <c r="AA42" s="448" t="str" cm="1">
        <f t="array" aca="1" ref="AA42" ca="1">INDIRECT(ADDRESS(ROW($BV$4)+AA$40-1, COLUMN($BV$4)))</f>
        <v>ㆦ</v>
      </c>
      <c r="AB42" s="448" t="str" cm="1">
        <f t="array" aca="1" ref="AB42" ca="1">INDIRECT(ADDRESS(ROW($BV$4)+AB$40-1, COLUMN($BV$4)))</f>
        <v>ㆧ</v>
      </c>
      <c r="AC42" s="448" t="str" cm="1">
        <f t="array" aca="1" ref="AC42" ca="1">INDIRECT(ADDRESS(ROW($BV$4)+AC$40-1, COLUMN($BV$4)))</f>
        <v>ㄜ</v>
      </c>
      <c r="AD42" s="448" t="str" cm="1">
        <f t="array" aca="1" ref="AD42" ca="1">INDIRECT(ADDRESS(ROW($BV$4)+AD$40-1, COLUMN($BV$4)))</f>
        <v>ㆤ</v>
      </c>
      <c r="AE42" s="448" t="str" cm="1">
        <f t="array" aca="1" ref="AE42" ca="1">INDIRECT(ADDRESS(ROW($BV$4)+AE$40-1, COLUMN($BV$4)))</f>
        <v>ㆥ</v>
      </c>
      <c r="AF42" s="448" t="str" cm="1">
        <f t="array" aca="1" ref="AF42" ca="1">INDIRECT(ADDRESS(ROW($BV$4)+AF$40-1, COLUMN($BV$4)))</f>
        <v>ㄞ</v>
      </c>
      <c r="AG42" s="448" t="str" cm="1">
        <f t="array" aca="1" ref="AG42" ca="1">INDIRECT(ADDRESS(ROW($BV$4)+AG$40-1, COLUMN($BV$4)))</f>
        <v>ㆮ</v>
      </c>
      <c r="AH42" s="448" t="str" cm="1">
        <f t="array" aca="1" ref="AH42" ca="1">INDIRECT(ADDRESS(ROW($BV$4)+AH$40-1, COLUMN($BV$4)))</f>
        <v>ㄠ</v>
      </c>
      <c r="AI42" s="448" t="str" cm="1">
        <f t="array" aca="1" ref="AI42" ca="1">INDIRECT(ADDRESS(ROW($BV$4)+AI$40-1, COLUMN($BV$4)))</f>
        <v>ㆯ</v>
      </c>
      <c r="AJ42" s="448" t="str" cm="1">
        <f t="array" aca="1" ref="AJ42" ca="1">INDIRECT(ADDRESS(ROW($BV$4)+AJ$40-1, COLUMN($BV$4)))</f>
        <v>ㆰ</v>
      </c>
      <c r="AK42" s="448" t="str" cm="1">
        <f t="array" aca="1" ref="AK42" ca="1">INDIRECT(ADDRESS(ROW($BV$4)+AK$40-1, COLUMN($BV$4)))</f>
        <v>ㆱ</v>
      </c>
      <c r="AL42" s="448" t="str" cm="1">
        <f t="array" aca="1" ref="AL42" ca="1">INDIRECT(ADDRESS(ROW($BV$4)+AL$40-1, COLUMN($BV$4)))</f>
        <v>ㆬ</v>
      </c>
      <c r="AM42" s="448" t="str" cm="1">
        <f t="array" aca="1" ref="AM42" ca="1">INDIRECT(ADDRESS(ROW($BV$4)+AM$40-1, COLUMN($BV$4)))</f>
        <v>ㄢ</v>
      </c>
      <c r="AN42" s="448" t="str" cm="1">
        <f t="array" aca="1" ref="AN42" ca="1">INDIRECT(ADDRESS(ROW($BV$4)+AN$40-1, COLUMN($BV$4)))</f>
        <v>ㄣ</v>
      </c>
      <c r="AO42" s="448" t="str" cm="1">
        <f t="array" aca="1" ref="AO42" ca="1">INDIRECT(ADDRESS(ROW($BV$4)+AO$40-1, COLUMN($BV$4)))</f>
        <v>ㄤ</v>
      </c>
      <c r="AP42" s="448" t="str" cm="1">
        <f t="array" aca="1" ref="AP42" ca="1">INDIRECT(ADDRESS(ROW($BV$4)+AP$40-1, COLUMN($BV$4)))</f>
        <v>ㆲ</v>
      </c>
      <c r="AQ42" s="448" t="str" cm="1">
        <f t="array" aca="1" ref="AQ42" ca="1">INDIRECT(ADDRESS(ROW($BV$4)+AQ$40-1, COLUMN($BV$4)))</f>
        <v>ㄥ</v>
      </c>
      <c r="AR42" s="448" t="str" cm="1">
        <f t="array" aca="1" ref="AR42" ca="1">INDIRECT(ADDRESS(ROW($BV$4)+AR$40-1, COLUMN($BV$4)))</f>
        <v>ㆭ</v>
      </c>
      <c r="AS42" s="448" t="str" cm="1">
        <f t="array" aca="1" ref="AS42" ca="1">INDIRECT(ADDRESS(ROW($BV$4)+AS$40-1, COLUMN($BV$4)))</f>
        <v>ㄧ</v>
      </c>
      <c r="AT42" s="448" t="str" cm="1">
        <f t="array" aca="1" ref="AT42" ca="1">INDIRECT(ADDRESS(ROW($BV$4)+AT$40-1, COLUMN($BV$4)))</f>
        <v>ㆪ</v>
      </c>
      <c r="AU42" s="448" t="str" cm="1">
        <f t="array" aca="1" ref="AU42" ca="1">INDIRECT(ADDRESS(ROW($BV$4)+AU$40-1, COLUMN($BV$4)))</f>
        <v>ㄨ</v>
      </c>
      <c r="AV42" s="448" t="str" cm="1">
        <f t="array" aca="1" ref="AV42" ca="1">INDIRECT(ADDRESS(ROW($BV$4)+AV$40-1, COLUMN($BV$4)))</f>
        <v>ㆫ</v>
      </c>
      <c r="AW42" s="448" t="str" cm="1">
        <f t="array" aca="1" ref="AW42" ca="1">INDIRECT(ADDRESS(ROW($BV$4)+AW$40-1, COLUMN($BV$4)))</f>
        <v>ㆴ</v>
      </c>
      <c r="AX42" s="448" t="str" cm="1">
        <f t="array" aca="1" ref="AX42" ca="1">INDIRECT(ADDRESS(ROW($BV$4)+AX$40-1, COLUMN($BV$4)))</f>
        <v>ㆵ</v>
      </c>
      <c r="AY42" s="448" t="str" cm="1">
        <f t="array" aca="1" ref="AY42" ca="1">INDIRECT(ADDRESS(ROW($BV$4)+AY$40-1, COLUMN($BV$4)))</f>
        <v>ㆻ</v>
      </c>
      <c r="AZ42" s="448" t="str" cm="1">
        <f t="array" aca="1" ref="AZ42" ca="1">INDIRECT(ADDRESS(ROW($BV$4)+AZ$40-1, COLUMN($BV$4)))</f>
        <v>ㆷ</v>
      </c>
      <c r="BA42" s="448" t="str" cm="1">
        <f t="array" aca="1" ref="BA42" ca="1">INDIRECT(ADDRESS(ROW($BV$4)+BA$40-1, COLUMN($BV$4)))</f>
        <v xml:space="preserve"> </v>
      </c>
      <c r="BB42" s="448" t="str" cm="1">
        <f t="array" aca="1" ref="BB42" ca="1">INDIRECT(ADDRESS(ROW($BV$4)+BB$40-1, COLUMN($BV$4)))</f>
        <v>ˋ</v>
      </c>
      <c r="BC42" s="448" t="str" cm="1">
        <f t="array" aca="1" ref="BC42" ca="1">INDIRECT(ADDRESS(ROW($BV$4)+BC$40-1, COLUMN($BV$4)))</f>
        <v>˪</v>
      </c>
      <c r="BD42" s="448" t="str" cm="1">
        <f t="array" aca="1" ref="BD42" ca="1">INDIRECT(ADDRESS(ROW($BV$4)+BD$40-1, COLUMN($BV$4)))</f>
        <v>ˊ</v>
      </c>
      <c r="BE42" s="448" t="str" cm="1">
        <f t="array" aca="1" ref="BE42" ca="1">INDIRECT(ADDRESS(ROW($BV$4)+BE$40-1, COLUMN($BV$4)))</f>
        <v>˫</v>
      </c>
      <c r="BF42" s="448" t="str" cm="1">
        <f t="array" aca="1" ref="BF42" ca="1">INDIRECT(ADDRESS(ROW($BV$4)+BF$40-1, COLUMN($BV$4)))</f>
        <v>˙</v>
      </c>
      <c r="BG42" s="406"/>
      <c r="BH42" s="406"/>
      <c r="BI42" s="411">
        <v>39</v>
      </c>
      <c r="BJ42" s="543" t="str" cm="1">
        <f t="array" aca="1" ref="BJ42" ca="1" xml:space="preserve"> INDIRECT( ADDRESS( ROW($C$17), COLUMN($C$17) +$BI42) )</f>
        <v>ㄞ</v>
      </c>
      <c r="BK42" s="409" t="str" cm="1">
        <f t="array" aca="1" ref="BK42" ca="1" xml:space="preserve"> INDIRECT( ADDRESS( ROW($C$19), COLUMN($C$19) +$BI42) )</f>
        <v>ai</v>
      </c>
      <c r="BL42" s="408" t="str" cm="1">
        <f t="array" aca="1" ref="BL42" ca="1" xml:space="preserve"> INDIRECT( ADDRESS( ROW($C$18), COLUMN($C$18) +$BI42) )</f>
        <v>y</v>
      </c>
      <c r="BM42" s="407" t="str" cm="1">
        <f t="array" aca="1" ref="BM42" ca="1" xml:space="preserve"> INDIRECT( ADDRESS( ROW($C$16), COLUMN($C$16) +$BI42) )</f>
        <v>9</v>
      </c>
      <c r="BO42" s="517" t="str">
        <f t="shared" ca="1" si="0"/>
        <v>"9": { commit: "ㄞ" }</v>
      </c>
      <c r="BQ42" s="161">
        <v>39</v>
      </c>
      <c r="BR42" s="294" t="s">
        <v>906</v>
      </c>
      <c r="BS42" s="294">
        <v>39</v>
      </c>
      <c r="BT42" s="529" t="s">
        <v>905</v>
      </c>
      <c r="BU42" s="512">
        <v>39</v>
      </c>
      <c r="BV42" s="512" t="s">
        <v>101</v>
      </c>
      <c r="BX42" s="536">
        <f t="shared" si="1"/>
        <v>39</v>
      </c>
      <c r="BY42" s="537" t="s">
        <v>101</v>
      </c>
      <c r="BZ42" s="226" t="s">
        <v>212</v>
      </c>
      <c r="CA42" s="225" t="s">
        <v>277</v>
      </c>
      <c r="CD42" s="411">
        <f t="shared" si="2"/>
        <v>39</v>
      </c>
      <c r="CE42" s="543" t="s">
        <v>23</v>
      </c>
      <c r="CF42" s="409" t="s">
        <v>509</v>
      </c>
      <c r="CG42" s="408" t="s">
        <v>915</v>
      </c>
    </row>
    <row r="43" spans="2:85" ht="31.5" customHeight="1">
      <c r="B43" s="442" t="s">
        <v>873</v>
      </c>
      <c r="C43" s="441"/>
      <c r="D43" s="438" t="str" cm="1">
        <f t="array" aca="1" ref="D43" ca="1">INDIRECT(ADDRESS(ROW($BT$4)+D$40-1, COLUMN($BT$4)))</f>
        <v>p</v>
      </c>
      <c r="E43" s="438" t="str" cm="1">
        <f t="array" aca="1" ref="E43" ca="1">INDIRECT(ADDRESS(ROW($BT$4)+E$40-1, COLUMN($BT$4)))</f>
        <v>b</v>
      </c>
      <c r="F43" s="438" t="str" cm="1">
        <f t="array" aca="1" ref="F43" ca="1">INDIRECT(ADDRESS(ROW($BT$4)+F$40-1, COLUMN($BT$4)))</f>
        <v>P</v>
      </c>
      <c r="G43" s="438" t="str" cm="1">
        <f t="array" aca="1" ref="G43" ca="1">INDIRECT(ADDRESS(ROW($BT$4)+G$40-1, COLUMN($BT$4)))</f>
        <v>m</v>
      </c>
      <c r="H43" s="438" t="str" cm="1">
        <f t="array" aca="1" ref="H43" ca="1">INDIRECT(ADDRESS(ROW($BT$4)+H$40-1, COLUMN($BT$4)))</f>
        <v>t</v>
      </c>
      <c r="I43" s="438" t="str" cm="1">
        <f t="array" aca="1" ref="I43" ca="1">INDIRECT(ADDRESS(ROW($BT$4)+I$40-1, COLUMN($BT$4)))</f>
        <v>T</v>
      </c>
      <c r="J43" s="438" t="str" cm="1">
        <f t="array" aca="1" ref="J43" ca="1">INDIRECT(ADDRESS(ROW($BT$4)+J$40-1, COLUMN($BT$4)))</f>
        <v>n</v>
      </c>
      <c r="K43" s="438" t="str" cm="1">
        <f t="array" aca="1" ref="K43" ca="1">INDIRECT(ADDRESS(ROW($BT$4)+K$40-1, COLUMN($BT$4)))</f>
        <v>l</v>
      </c>
      <c r="L43" s="438" t="str" cm="1">
        <f t="array" aca="1" ref="L43" ca="1">INDIRECT(ADDRESS(ROW($BT$4)+L$40-1, COLUMN($BT$4)))</f>
        <v>k</v>
      </c>
      <c r="M43" s="438" t="str" cm="1">
        <f t="array" aca="1" ref="M43" ca="1">INDIRECT(ADDRESS(ROW($BT$4)+M$40-1, COLUMN($BT$4)))</f>
        <v>g</v>
      </c>
      <c r="N43" s="438" t="str" cm="1">
        <f t="array" aca="1" ref="N43" ca="1">INDIRECT(ADDRESS(ROW($BT$4)+N$40-1, COLUMN($BT$4)))</f>
        <v>K</v>
      </c>
      <c r="O43" s="438" t="str" cm="1">
        <f t="array" aca="1" ref="O43" ca="1">INDIRECT(ADDRESS(ROW($BT$4)+O$40-1, COLUMN($BT$4)))</f>
        <v>G</v>
      </c>
      <c r="P43" s="438" t="str" cm="1">
        <f t="array" aca="1" ref="P43" ca="1">INDIRECT(ADDRESS(ROW($BT$4)+P$40-1, COLUMN($BT$4)))</f>
        <v>h</v>
      </c>
      <c r="Q43" s="438" t="str" cm="1">
        <f t="array" aca="1" ref="Q43" ca="1">INDIRECT(ADDRESS(ROW($BT$4)+Q$40-1, COLUMN($BT$4)))</f>
        <v>Z</v>
      </c>
      <c r="R43" s="438" t="str" cm="1">
        <f t="array" aca="1" ref="R43" ca="1">INDIRECT(ADDRESS(ROW($BT$4)+R$40-1, COLUMN($BT$4)))</f>
        <v>J</v>
      </c>
      <c r="S43" s="438" t="str" cm="1">
        <f t="array" aca="1" ref="S43" ca="1">INDIRECT(ADDRESS(ROW($BT$4)+S$40-1, COLUMN($BT$4)))</f>
        <v>C</v>
      </c>
      <c r="T43" s="438" t="str" cm="1">
        <f t="array" aca="1" ref="T43" ca="1">INDIRECT(ADDRESS(ROW($BT$4)+T$40-1, COLUMN($BT$4)))</f>
        <v>S</v>
      </c>
      <c r="U43" s="438" t="str" cm="1">
        <f t="array" aca="1" ref="U43" ca="1">INDIRECT(ADDRESS(ROW($BT$4)+U$40-1, COLUMN($BT$4)))</f>
        <v>z</v>
      </c>
      <c r="V43" s="438" t="str" cm="1">
        <f t="array" aca="1" ref="V43" ca="1">INDIRECT(ADDRESS(ROW($BT$4)+V$40-1, COLUMN($BT$4)))</f>
        <v>j</v>
      </c>
      <c r="W43" s="438" t="str" cm="1">
        <f t="array" aca="1" ref="W43" ca="1">INDIRECT(ADDRESS(ROW($BT$4)+W$40-1, COLUMN($BT$4)))</f>
        <v>c</v>
      </c>
      <c r="X43" s="438" t="str" cm="1">
        <f t="array" aca="1" ref="X43" ca="1">INDIRECT(ADDRESS(ROW($BT$4)+X$40-1, COLUMN($BT$4)))</f>
        <v>s</v>
      </c>
      <c r="Y43" s="438" t="str" cm="1">
        <f t="array" aca="1" ref="Y43" ca="1">INDIRECT(ADDRESS(ROW($BT$4)+Y$40-1, COLUMN($BT$4)))</f>
        <v>a</v>
      </c>
      <c r="Z43" s="438" t="str" cm="1">
        <f t="array" aca="1" ref="Z43" ca="1">INDIRECT(ADDRESS(ROW($BT$4)+Z$40-1, COLUMN($BT$4)))</f>
        <v>A</v>
      </c>
      <c r="AA43" s="438" t="str" cm="1">
        <f t="array" aca="1" ref="AA43" ca="1">INDIRECT(ADDRESS(ROW($BT$4)+AA$40-1, COLUMN($BT$4)))</f>
        <v>O</v>
      </c>
      <c r="AB43" s="438" t="str" cm="1">
        <f t="array" aca="1" ref="AB43" ca="1">INDIRECT(ADDRESS(ROW($BT$4)+AB$40-1, COLUMN($BT$4)))</f>
        <v>Q</v>
      </c>
      <c r="AC43" s="438" t="str" cm="1">
        <f t="array" aca="1" ref="AC43" ca="1">INDIRECT(ADDRESS(ROW($BT$4)+AC$40-1, COLUMN($BT$4)))</f>
        <v>o</v>
      </c>
      <c r="AD43" s="438" t="str" cm="1">
        <f t="array" aca="1" ref="AD43" ca="1">INDIRECT(ADDRESS(ROW($BT$4)+AD$40-1, COLUMN($BT$4)))</f>
        <v>e</v>
      </c>
      <c r="AE43" s="438" t="str" cm="1">
        <f t="array" aca="1" ref="AE43" ca="1">INDIRECT(ADDRESS(ROW($BT$4)+AE$40-1, COLUMN($BT$4)))</f>
        <v>E</v>
      </c>
      <c r="AF43" s="438" t="str" cm="1">
        <f t="array" aca="1" ref="AF43" ca="1">INDIRECT(ADDRESS(ROW($BT$4)+AF$40-1, COLUMN($BT$4)))</f>
        <v>y</v>
      </c>
      <c r="AG43" s="438" t="str" cm="1">
        <f t="array" aca="1" ref="AG43" ca="1">INDIRECT(ADDRESS(ROW($BT$4)+AG$40-1, COLUMN($BT$4)))</f>
        <v>Y</v>
      </c>
      <c r="AH43" s="438" t="str" cm="1">
        <f t="array" aca="1" ref="AH43" ca="1">INDIRECT(ADDRESS(ROW($BT$4)+AH$40-1, COLUMN($BT$4)))</f>
        <v>x</v>
      </c>
      <c r="AI43" s="438" t="str" cm="1">
        <f t="array" aca="1" ref="AI43" ca="1">INDIRECT(ADDRESS(ROW($BT$4)+AI$40-1, COLUMN($BT$4)))</f>
        <v>X</v>
      </c>
      <c r="AJ43" s="438" t="str" cm="1">
        <f t="array" aca="1" ref="AJ43" ca="1">INDIRECT(ADDRESS(ROW($BT$4)+AJ$40-1, COLUMN($BT$4)))</f>
        <v>{</v>
      </c>
      <c r="AK43" s="438" t="str" cm="1">
        <f t="array" aca="1" ref="AK43" ca="1">INDIRECT(ADDRESS(ROW($BT$4)+AK$40-1, COLUMN($BT$4)))</f>
        <v>}</v>
      </c>
      <c r="AL43" s="438" t="str" cm="1">
        <f t="array" aca="1" ref="AL43" ca="1">INDIRECT(ADDRESS(ROW($BT$4)+AL$40-1, COLUMN($BT$4)))</f>
        <v>M</v>
      </c>
      <c r="AM43" s="438" t="str" cm="1">
        <f t="array" aca="1" ref="AM43" ca="1">INDIRECT(ADDRESS(ROW($BT$4)+AM$40-1, COLUMN($BT$4)))</f>
        <v>@</v>
      </c>
      <c r="AN43" s="438" t="str" cm="1">
        <f t="array" aca="1" ref="AN43" ca="1">INDIRECT(ADDRESS(ROW($BT$4)+AN$40-1, COLUMN($BT$4)))</f>
        <v>N</v>
      </c>
      <c r="AO43" s="438" t="str" cm="1">
        <f t="array" aca="1" ref="AO43" ca="1">INDIRECT(ADDRESS(ROW($BT$4)+AO$40-1, COLUMN($BT$4)))</f>
        <v>[</v>
      </c>
      <c r="AP43" s="438" t="str" cm="1">
        <f t="array" aca="1" ref="AP43" ca="1">INDIRECT(ADDRESS(ROW($BT$4)+AP$40-1, COLUMN($BT$4)))</f>
        <v>]</v>
      </c>
      <c r="AQ43" s="438" t="str" cm="1">
        <f t="array" aca="1" ref="AQ43" ca="1">INDIRECT(ADDRESS(ROW($BT$4)+AQ$40-1, COLUMN($BT$4)))</f>
        <v>R</v>
      </c>
      <c r="AR43" s="438" t="str" cm="1">
        <f t="array" aca="1" ref="AR43" ca="1">INDIRECT(ADDRESS(ROW($BT$4)+AR$40-1, COLUMN($BT$4)))</f>
        <v>r</v>
      </c>
      <c r="AS43" s="438" t="str" cm="1">
        <f t="array" aca="1" ref="AS43" ca="1">INDIRECT(ADDRESS(ROW($BT$4)+AS$40-1, COLUMN($BT$4)))</f>
        <v>i</v>
      </c>
      <c r="AT43" s="438" t="str" cm="1">
        <f t="array" aca="1" ref="AT43" ca="1">INDIRECT(ADDRESS(ROW($BT$4)+AT$40-1, COLUMN($BT$4)))</f>
        <v>I</v>
      </c>
      <c r="AU43" s="438" t="str" cm="1">
        <f t="array" aca="1" ref="AU43" ca="1">INDIRECT(ADDRESS(ROW($BT$4)+AU$40-1, COLUMN($BT$4)))</f>
        <v>u</v>
      </c>
      <c r="AV43" s="438" t="str" cm="1">
        <f t="array" aca="1" ref="AV43" ca="1">INDIRECT(ADDRESS(ROW($BT$4)+AV$40-1, COLUMN($BT$4)))</f>
        <v>U</v>
      </c>
      <c r="AW43" s="438" t="str" cm="1">
        <f t="array" aca="1" ref="AW43" ca="1">INDIRECT(ADDRESS(ROW($BT$4)+AW$40-1, COLUMN($BT$4)))</f>
        <v>9</v>
      </c>
      <c r="AX43" s="438" t="str" cm="1">
        <f t="array" aca="1" ref="AX43" ca="1">INDIRECT(ADDRESS(ROW($BT$4)+AX$40-1, COLUMN($BT$4)))</f>
        <v>&gt;</v>
      </c>
      <c r="AY43" s="438" t="str" cm="1">
        <f t="array" aca="1" ref="AY43" ca="1">INDIRECT(ADDRESS(ROW($BT$4)+AY$40-1, COLUMN($BT$4)))</f>
        <v>&lt;</v>
      </c>
      <c r="AZ43" s="438" t="str" cm="1">
        <f t="array" aca="1" ref="AZ43" ca="1">INDIRECT(ADDRESS(ROW($BT$4)+AZ$40-1, COLUMN($BT$4)))</f>
        <v>4</v>
      </c>
      <c r="BA43" s="438" t="str" cm="1">
        <f t="array" aca="1" ref="BA43" ca="1">INDIRECT(ADDRESS(ROW($BT$4)+BA$40-1, COLUMN($BT$4)))</f>
        <v>1</v>
      </c>
      <c r="BB43" s="438" t="str" cm="1">
        <f t="array" aca="1" ref="BB43" ca="1">INDIRECT(ADDRESS(ROW($BT$4)+BB$40-1, COLUMN($BT$4)))</f>
        <v>2</v>
      </c>
      <c r="BC43" s="438" t="str" cm="1">
        <f t="array" aca="1" ref="BC43" ca="1">INDIRECT(ADDRESS(ROW($BT$4)+BC$40-1, COLUMN($BT$4)))</f>
        <v>3</v>
      </c>
      <c r="BD43" s="438" t="str" cm="1">
        <f t="array" aca="1" ref="BD43" ca="1">INDIRECT(ADDRESS(ROW($BT$4)+BD$40-1, COLUMN($BT$4)))</f>
        <v>5</v>
      </c>
      <c r="BE43" s="438" t="str" cm="1">
        <f t="array" aca="1" ref="BE43" ca="1">INDIRECT(ADDRESS(ROW($BT$4)+BE$40-1, COLUMN($BT$4)))</f>
        <v>7</v>
      </c>
      <c r="BF43" s="438" t="str" cm="1">
        <f t="array" aca="1" ref="BF43" ca="1">INDIRECT(ADDRESS(ROW($BT$4)+BF$40-1, COLUMN($BT$4)))</f>
        <v>0</v>
      </c>
      <c r="BG43" s="406"/>
      <c r="BH43" s="406"/>
      <c r="BI43" s="411">
        <v>40</v>
      </c>
      <c r="BJ43" s="543" t="str" cm="1">
        <f t="array" aca="1" ref="BJ43" ca="1" xml:space="preserve"> INDIRECT( ADDRESS( ROW($C$17), COLUMN($C$17) +$BI43) )</f>
        <v>ㆮ</v>
      </c>
      <c r="BK43" s="409" t="str" cm="1">
        <f t="array" aca="1" ref="BK43" ca="1" xml:space="preserve"> INDIRECT( ADDRESS( ROW($C$19), COLUMN($C$19) +$BI43) )</f>
        <v>aiN</v>
      </c>
      <c r="BL43" s="408" t="str" cm="1">
        <f t="array" aca="1" ref="BL43" ca="1" xml:space="preserve"> INDIRECT( ADDRESS( ROW($C$18), COLUMN($C$18) +$BI43) )</f>
        <v>Y</v>
      </c>
      <c r="BM43" s="407" t="str" cm="1">
        <f t="array" aca="1" ref="BM43" ca="1" xml:space="preserve"> INDIRECT( ADDRESS( ROW($C$16), COLUMN($C$16) +$BI43) )</f>
        <v>(</v>
      </c>
      <c r="BO43" s="517" t="str">
        <f t="shared" ca="1" si="0"/>
        <v>"(": { commit: "ㆮ" }</v>
      </c>
      <c r="BQ43" s="161">
        <v>40</v>
      </c>
      <c r="BR43" s="532" t="s">
        <v>184</v>
      </c>
      <c r="BS43" s="532">
        <v>40</v>
      </c>
      <c r="BT43" s="533" t="s">
        <v>27</v>
      </c>
      <c r="BU43" s="534">
        <v>40</v>
      </c>
      <c r="BV43" s="534" t="s">
        <v>115</v>
      </c>
      <c r="BX43" s="536">
        <f t="shared" si="1"/>
        <v>40</v>
      </c>
      <c r="BY43" s="537" t="s">
        <v>115</v>
      </c>
      <c r="BZ43" s="226" t="s">
        <v>215</v>
      </c>
      <c r="CA43" s="225" t="s">
        <v>275</v>
      </c>
      <c r="CD43" s="411">
        <f t="shared" si="2"/>
        <v>40</v>
      </c>
      <c r="CE43" s="543" t="s">
        <v>102</v>
      </c>
      <c r="CF43" s="409" t="s">
        <v>217</v>
      </c>
      <c r="CG43" s="408" t="s">
        <v>172</v>
      </c>
    </row>
    <row r="44" spans="2:85" ht="31.5" customHeight="1">
      <c r="B44" s="447" t="s">
        <v>879</v>
      </c>
      <c r="C44" s="446"/>
      <c r="D44" s="444" t="str" cm="1">
        <f t="array" aca="1" ref="D44" ca="1" xml:space="preserve"> IFERROR( INDEX(注音符號字典編碼!$D$6:$D$57, MATCH(TRUE, EXACT(D42, 注音符號字典編碼!$C$6:$C$57), 0)), "")</f>
        <v>p</v>
      </c>
      <c r="E44" s="444" t="str" cm="1">
        <f t="array" aca="1" ref="E44" ca="1" xml:space="preserve"> IFERROR( INDEX(注音符號字典編碼!$D$6:$D$57, MATCH(TRUE, EXACT(E42, 注音符號字典編碼!$C$6:$C$57), 0)), "")</f>
        <v>b</v>
      </c>
      <c r="F44" s="444" t="str" cm="1">
        <f t="array" aca="1" ref="F44" ca="1" xml:space="preserve"> IFERROR( INDEX(注音符號字典編碼!$D$6:$D$57, MATCH(TRUE, EXACT(F42, 注音符號字典編碼!$C$6:$C$57), 0)), "")</f>
        <v>ph</v>
      </c>
      <c r="G44" s="444" t="str" cm="1">
        <f t="array" aca="1" ref="G44" ca="1" xml:space="preserve"> IFERROR( INDEX(注音符號字典編碼!$D$6:$D$57, MATCH(TRUE, EXACT(G42, 注音符號字典編碼!$C$6:$C$57), 0)), "")</f>
        <v>m</v>
      </c>
      <c r="H44" s="444" t="str" cm="1">
        <f t="array" aca="1" ref="H44" ca="1" xml:space="preserve"> IFERROR( INDEX(注音符號字典編碼!$D$6:$D$57, MATCH(TRUE, EXACT(H42, 注音符號字典編碼!$C$6:$C$57), 0)), "")</f>
        <v>t</v>
      </c>
      <c r="I44" s="444" t="str" cm="1">
        <f t="array" aca="1" ref="I44" ca="1" xml:space="preserve"> IFERROR( INDEX(注音符號字典編碼!$D$6:$D$57, MATCH(TRUE, EXACT(I42, 注音符號字典編碼!$C$6:$C$57), 0)), "")</f>
        <v>th</v>
      </c>
      <c r="J44" s="444" t="str" cm="1">
        <f t="array" aca="1" ref="J44" ca="1" xml:space="preserve"> IFERROR( INDEX(注音符號字典編碼!$D$6:$D$57, MATCH(TRUE, EXACT(J42, 注音符號字典編碼!$C$6:$C$57), 0)), "")</f>
        <v>n</v>
      </c>
      <c r="K44" s="444" t="str" cm="1">
        <f t="array" aca="1" ref="K44" ca="1" xml:space="preserve"> IFERROR( INDEX(注音符號字典編碼!$D$6:$D$57, MATCH(TRUE, EXACT(K42, 注音符號字典編碼!$C$6:$C$57), 0)), "")</f>
        <v>l</v>
      </c>
      <c r="L44" s="444" t="str" cm="1">
        <f t="array" aca="1" ref="L44" ca="1" xml:space="preserve"> IFERROR( INDEX(注音符號字典編碼!$D$6:$D$57, MATCH(TRUE, EXACT(L42, 注音符號字典編碼!$C$6:$C$57), 0)), "")</f>
        <v>k</v>
      </c>
      <c r="M44" s="444" t="str" cm="1">
        <f t="array" aca="1" ref="M44" ca="1" xml:space="preserve"> IFERROR( INDEX(注音符號字典編碼!$D$6:$D$57, MATCH(TRUE, EXACT(M42, 注音符號字典編碼!$C$6:$C$57), 0)), "")</f>
        <v>g</v>
      </c>
      <c r="N44" s="444" t="str" cm="1">
        <f t="array" aca="1" ref="N44" ca="1" xml:space="preserve"> IFERROR( INDEX(注音符號字典編碼!$D$6:$D$57, MATCH(TRUE, EXACT(N42, 注音符號字典編碼!$C$6:$C$57), 0)), "")</f>
        <v>kh</v>
      </c>
      <c r="O44" s="444" t="str" cm="1">
        <f t="array" aca="1" ref="O44" ca="1" xml:space="preserve"> IFERROR( INDEX(注音符號字典編碼!$D$6:$D$57, MATCH(TRUE, EXACT(O42, 注音符號字典編碼!$C$6:$C$57), 0)), "")</f>
        <v>ng</v>
      </c>
      <c r="P44" s="444" t="str" cm="1">
        <f t="array" aca="1" ref="P44" ca="1" xml:space="preserve"> IFERROR( INDEX(注音符號字典編碼!$D$6:$D$57, MATCH(TRUE, EXACT(P42, 注音符號字典編碼!$C$6:$C$57), 0)), "")</f>
        <v>h</v>
      </c>
      <c r="Q44" s="444" t="str" cm="1">
        <f t="array" aca="1" ref="Q44" ca="1" xml:space="preserve"> IFERROR( INDEX(注音符號字典編碼!$D$6:$D$57, MATCH(TRUE, EXACT(Q42, 注音符號字典編碼!$C$6:$C$57), 0)), "")</f>
        <v>ci</v>
      </c>
      <c r="R44" s="444" t="str" cm="1">
        <f t="array" aca="1" ref="R44" ca="1" xml:space="preserve"> IFERROR( INDEX(注音符號字典編碼!$D$6:$D$57, MATCH(TRUE, EXACT(R42, 注音符號字典編碼!$C$6:$C$57), 0)), "")</f>
        <v>ji</v>
      </c>
      <c r="S44" s="444" t="str" cm="1">
        <f t="array" aca="1" ref="S44" ca="1" xml:space="preserve"> IFERROR( INDEX(注音符號字典編碼!$D$6:$D$57, MATCH(TRUE, EXACT(S42, 注音符號字典編碼!$C$6:$C$57), 0)), "")</f>
        <v>chi</v>
      </c>
      <c r="T44" s="444" t="str" cm="1">
        <f t="array" aca="1" ref="T44" ca="1" xml:space="preserve"> IFERROR( INDEX(注音符號字典編碼!$D$6:$D$57, MATCH(TRUE, EXACT(T42, 注音符號字典編碼!$C$6:$C$57), 0)), "")</f>
        <v>si</v>
      </c>
      <c r="U44" s="444" t="str" cm="1">
        <f t="array" aca="1" ref="U44" ca="1" xml:space="preserve"> IFERROR( INDEX(注音符號字典編碼!$D$6:$D$57, MATCH(TRUE, EXACT(U42, 注音符號字典編碼!$C$6:$C$57), 0)), "")</f>
        <v>c</v>
      </c>
      <c r="V44" s="444" t="str" cm="1">
        <f t="array" aca="1" ref="V44" ca="1" xml:space="preserve"> IFERROR( INDEX(注音符號字典編碼!$D$6:$D$57, MATCH(TRUE, EXACT(V42, 注音符號字典編碼!$C$6:$C$57), 0)), "")</f>
        <v>j</v>
      </c>
      <c r="W44" s="444" t="str" cm="1">
        <f t="array" aca="1" ref="W44" ca="1" xml:space="preserve"> IFERROR( INDEX(注音符號字典編碼!$D$6:$D$57, MATCH(TRUE, EXACT(W42, 注音符號字典編碼!$C$6:$C$57), 0)), "")</f>
        <v>ch</v>
      </c>
      <c r="X44" s="444" t="str" cm="1">
        <f t="array" aca="1" ref="X44" ca="1" xml:space="preserve"> IFERROR( INDEX(注音符號字典編碼!$D$6:$D$57, MATCH(TRUE, EXACT(X42, 注音符號字典編碼!$C$6:$C$57), 0)), "")</f>
        <v>s</v>
      </c>
      <c r="Y44" s="444" t="str" cm="1">
        <f t="array" aca="1" ref="Y44" ca="1" xml:space="preserve"> IFERROR( INDEX(注音符號字典編碼!$D$6:$D$57, MATCH(TRUE, EXACT(Y42, 注音符號字典編碼!$C$6:$C$57), 0)), "")</f>
        <v>a</v>
      </c>
      <c r="Z44" s="444" t="str" cm="1">
        <f t="array" aca="1" ref="Z44" ca="1" xml:space="preserve"> IFERROR( INDEX(注音符號字典編碼!$D$6:$D$57, MATCH(TRUE, EXACT(Z42, 注音符號字典編碼!$C$6:$C$57), 0)), "")</f>
        <v>aN</v>
      </c>
      <c r="AA44" s="444" t="str" cm="1">
        <f t="array" aca="1" ref="AA44" ca="1" xml:space="preserve"> IFERROR( INDEX(注音符號字典編碼!$D$6:$D$57, MATCH(TRUE, EXACT(AA42, 注音符號字典編碼!$C$6:$C$57), 0)), "")</f>
        <v>oo</v>
      </c>
      <c r="AB44" s="444" t="str" cm="1">
        <f t="array" aca="1" ref="AB44" ca="1" xml:space="preserve"> IFERROR( INDEX(注音符號字典編碼!$D$6:$D$57, MATCH(TRUE, EXACT(AB42, 注音符號字典編碼!$C$6:$C$57), 0)), "")</f>
        <v>ooN</v>
      </c>
      <c r="AC44" s="444" t="str" cm="1">
        <f t="array" aca="1" ref="AC44" ca="1" xml:space="preserve"> IFERROR( INDEX(注音符號字典編碼!$D$6:$D$57, MATCH(TRUE, EXACT(AC42, 注音符號字典編碼!$C$6:$C$57), 0)), "")</f>
        <v>o</v>
      </c>
      <c r="AD44" s="444" t="str" cm="1">
        <f t="array" aca="1" ref="AD44" ca="1" xml:space="preserve"> IFERROR( INDEX(注音符號字典編碼!$D$6:$D$57, MATCH(TRUE, EXACT(AD42, 注音符號字典編碼!$C$6:$C$57), 0)), "")</f>
        <v>e</v>
      </c>
      <c r="AE44" s="444" t="str" cm="1">
        <f t="array" aca="1" ref="AE44" ca="1" xml:space="preserve"> IFERROR( INDEX(注音符號字典編碼!$D$6:$D$57, MATCH(TRUE, EXACT(AE42, 注音符號字典編碼!$C$6:$C$57), 0)), "")</f>
        <v>eN</v>
      </c>
      <c r="AF44" s="444" t="str" cm="1">
        <f t="array" aca="1" ref="AF44" ca="1" xml:space="preserve"> IFERROR( INDEX(注音符號字典編碼!$D$6:$D$57, MATCH(TRUE, EXACT(AF42, 注音符號字典編碼!$C$6:$C$57), 0)), "")</f>
        <v>ai</v>
      </c>
      <c r="AG44" s="444" t="str" cm="1">
        <f t="array" aca="1" ref="AG44" ca="1" xml:space="preserve"> IFERROR( INDEX(注音符號字典編碼!$D$6:$D$57, MATCH(TRUE, EXACT(AG42, 注音符號字典編碼!$C$6:$C$57), 0)), "")</f>
        <v>aiN</v>
      </c>
      <c r="AH44" s="444" t="str" cm="1">
        <f t="array" aca="1" ref="AH44" ca="1" xml:space="preserve"> IFERROR( INDEX(注音符號字典編碼!$D$6:$D$57, MATCH(TRUE, EXACT(AH42, 注音符號字典編碼!$C$6:$C$57), 0)), "")</f>
        <v>au</v>
      </c>
      <c r="AI44" s="444" t="str" cm="1">
        <f t="array" aca="1" ref="AI44" ca="1" xml:space="preserve"> IFERROR( INDEX(注音符號字典編碼!$D$6:$D$57, MATCH(TRUE, EXACT(AI42, 注音符號字典編碼!$C$6:$C$57), 0)), "")</f>
        <v>auN</v>
      </c>
      <c r="AJ44" s="444" t="str" cm="1">
        <f t="array" aca="1" ref="AJ44" ca="1" xml:space="preserve"> IFERROR( INDEX(注音符號字典編碼!$D$6:$D$57, MATCH(TRUE, EXACT(AJ42, 注音符號字典編碼!$C$6:$C$57), 0)), "")</f>
        <v>am</v>
      </c>
      <c r="AK44" s="444" t="str" cm="1">
        <f t="array" aca="1" ref="AK44" ca="1" xml:space="preserve"> IFERROR( INDEX(注音符號字典編碼!$D$6:$D$57, MATCH(TRUE, EXACT(AK42, 注音符號字典編碼!$C$6:$C$57), 0)), "")</f>
        <v>om</v>
      </c>
      <c r="AL44" s="444" t="str" cm="1">
        <f t="array" aca="1" ref="AL44" ca="1" xml:space="preserve"> IFERROR( INDEX(注音符號字典編碼!$D$6:$D$57, MATCH(TRUE, EXACT(AL42, 注音符號字典編碼!$C$6:$C$57), 0)), "")</f>
        <v>-m</v>
      </c>
      <c r="AM44" s="444" t="str" cm="1">
        <f t="array" aca="1" ref="AM44" ca="1" xml:space="preserve"> IFERROR( INDEX(注音符號字典編碼!$D$6:$D$57, MATCH(TRUE, EXACT(AM42, 注音符號字典編碼!$C$6:$C$57), 0)), "")</f>
        <v>an</v>
      </c>
      <c r="AN44" s="444" t="str" cm="1">
        <f t="array" aca="1" ref="AN44" ca="1" xml:space="preserve"> IFERROR( INDEX(注音符號字典編碼!$D$6:$D$57, MATCH(TRUE, EXACT(AN42, 注音符號字典編碼!$C$6:$C$57), 0)), "")</f>
        <v>-n</v>
      </c>
      <c r="AO44" s="444" t="str" cm="1">
        <f t="array" aca="1" ref="AO44" ca="1" xml:space="preserve"> IFERROR( INDEX(注音符號字典編碼!$D$6:$D$57, MATCH(TRUE, EXACT(AO42, 注音符號字典編碼!$C$6:$C$57), 0)), "")</f>
        <v>ang</v>
      </c>
      <c r="AP44" s="444" t="str" cm="1">
        <f t="array" aca="1" ref="AP44" ca="1" xml:space="preserve"> IFERROR( INDEX(注音符號字典編碼!$D$6:$D$57, MATCH(TRUE, EXACT(AP42, 注音符號字典編碼!$C$6:$C$57), 0)), "")</f>
        <v>ong</v>
      </c>
      <c r="AQ44" s="444" t="str" cm="1">
        <f t="array" aca="1" ref="AQ44" ca="1" xml:space="preserve"> IFERROR( INDEX(注音符號字典編碼!$D$6:$D$57, MATCH(TRUE, EXACT(AQ42, 注音符號字典編碼!$C$6:$C$57), 0)), "")</f>
        <v>ing</v>
      </c>
      <c r="AR44" s="444" t="str" cm="1">
        <f t="array" aca="1" ref="AR44" ca="1" xml:space="preserve"> IFERROR( INDEX(注音符號字典編碼!$D$6:$D$57, MATCH(TRUE, EXACT(AR42, 注音符號字典編碼!$C$6:$C$57), 0)), "")</f>
        <v>-ng</v>
      </c>
      <c r="AS44" s="444" t="str" cm="1">
        <f t="array" aca="1" ref="AS44" ca="1" xml:space="preserve"> IFERROR( INDEX(注音符號字典編碼!$D$6:$D$57, MATCH(TRUE, EXACT(AS42, 注音符號字典編碼!$C$6:$C$57), 0)), "")</f>
        <v>i</v>
      </c>
      <c r="AT44" s="444" t="str" cm="1">
        <f t="array" aca="1" ref="AT44" ca="1" xml:space="preserve"> IFERROR( INDEX(注音符號字典編碼!$D$6:$D$57, MATCH(TRUE, EXACT(AT42, 注音符號字典編碼!$C$6:$C$57), 0)), "")</f>
        <v>iN</v>
      </c>
      <c r="AU44" s="444" t="str" cm="1">
        <f t="array" aca="1" ref="AU44" ca="1" xml:space="preserve"> IFERROR( INDEX(注音符號字典編碼!$D$6:$D$57, MATCH(TRUE, EXACT(AU42, 注音符號字典編碼!$C$6:$C$57), 0)), "")</f>
        <v>u</v>
      </c>
      <c r="AV44" s="444" t="str" cm="1">
        <f t="array" aca="1" ref="AV44" ca="1" xml:space="preserve"> IFERROR( INDEX(注音符號字典編碼!$D$6:$D$57, MATCH(TRUE, EXACT(AV42, 注音符號字典編碼!$C$6:$C$57), 0)), "")</f>
        <v>uN</v>
      </c>
      <c r="AW44" s="444" t="str" cm="1">
        <f t="array" aca="1" ref="AW44" ca="1" xml:space="preserve"> IFERROR( INDEX(注音符號字典編碼!$D$6:$D$57, MATCH(TRUE, EXACT(AW42, 注音符號字典編碼!$C$6:$C$57), 0)), "")</f>
        <v/>
      </c>
      <c r="AX44" s="444" t="str" cm="1">
        <f t="array" aca="1" ref="AX44" ca="1" xml:space="preserve"> IFERROR( INDEX(注音符號字典編碼!$D$6:$D$57, MATCH(TRUE, EXACT(AX42, 注音符號字典編碼!$C$6:$C$57), 0)), "")</f>
        <v/>
      </c>
      <c r="AY44" s="444" t="str" cm="1">
        <f t="array" aca="1" ref="AY44" ca="1" xml:space="preserve"> IFERROR( INDEX(注音符號字典編碼!$D$6:$D$57, MATCH(TRUE, EXACT(AY42, 注音符號字典編碼!$C$6:$C$57), 0)), "")</f>
        <v/>
      </c>
      <c r="AZ44" s="444" t="str" cm="1">
        <f t="array" aca="1" ref="AZ44" ca="1" xml:space="preserve"> IFERROR( INDEX(注音符號字典編碼!$D$6:$D$57, MATCH(TRUE, EXACT(AZ42, 注音符號字典編碼!$C$6:$C$57), 0)), "")</f>
        <v/>
      </c>
      <c r="BA44" s="444" t="str" cm="1">
        <f t="array" aca="1" ref="BA44" ca="1" xml:space="preserve"> IFERROR( INDEX(注音符號字典編碼!$D$6:$D$57, MATCH(TRUE, EXACT(BA42, 注音符號字典編碼!$C$6:$C$57), 0)), "")</f>
        <v/>
      </c>
      <c r="BB44" s="444" cm="1">
        <f t="array" aca="1" ref="BB44" ca="1" xml:space="preserve"> IFERROR( INDEX(注音符號字典編碼!$D$6:$D$57, MATCH(TRUE, EXACT(BB42, 注音符號字典編碼!$C$6:$C$57), 0)), "")</f>
        <v>2</v>
      </c>
      <c r="BC44" s="444" cm="1">
        <f t="array" aca="1" ref="BC44" ca="1" xml:space="preserve"> IFERROR( INDEX(注音符號字典編碼!$D$6:$D$57, MATCH(TRUE, EXACT(BC42, 注音符號字典編碼!$C$6:$C$57), 0)), "")</f>
        <v>3</v>
      </c>
      <c r="BD44" s="444" cm="1">
        <f t="array" aca="1" ref="BD44" ca="1" xml:space="preserve"> IFERROR( INDEX(注音符號字典編碼!$D$6:$D$57, MATCH(TRUE, EXACT(BD42, 注音符號字典編碼!$C$6:$C$57), 0)), "")</f>
        <v>5</v>
      </c>
      <c r="BE44" s="444" cm="1">
        <f t="array" aca="1" ref="BE44" ca="1" xml:space="preserve"> IFERROR( INDEX(注音符號字典編碼!$D$6:$D$57, MATCH(TRUE, EXACT(BE42, 注音符號字典編碼!$C$6:$C$57), 0)), "")</f>
        <v>7</v>
      </c>
      <c r="BF44" s="444" cm="1">
        <f t="array" aca="1" ref="BF44" ca="1" xml:space="preserve"> IFERROR( INDEX(注音符號字典編碼!$D$6:$D$57, MATCH(TRUE, EXACT(BF42, 注音符號字典編碼!$C$6:$C$57), 0)), "")</f>
        <v>8</v>
      </c>
      <c r="BG44" s="406"/>
      <c r="BH44" s="406"/>
      <c r="BI44" s="411">
        <v>41</v>
      </c>
      <c r="BJ44" s="543" t="str" cm="1">
        <f t="array" aca="1" ref="BJ44" ca="1" xml:space="preserve"> INDIRECT( ADDRESS( ROW($C$17), COLUMN($C$17) +$BI44) )</f>
        <v>ㄠ</v>
      </c>
      <c r="BK44" s="409" t="str" cm="1">
        <f t="array" aca="1" ref="BK44" ca="1" xml:space="preserve"> INDIRECT( ADDRESS( ROW($C$19), COLUMN($C$19) +$BI44) )</f>
        <v>au</v>
      </c>
      <c r="BL44" s="408" t="str" cm="1">
        <f t="array" aca="1" ref="BL44" ca="1" xml:space="preserve"> INDIRECT( ADDRESS( ROW($C$18), COLUMN($C$18) +$BI44) )</f>
        <v>x</v>
      </c>
      <c r="BM44" s="407" t="str" cm="1">
        <f t="array" aca="1" ref="BM44" ca="1" xml:space="preserve"> INDIRECT( ADDRESS( ROW($C$16), COLUMN($C$16) +$BI44) )</f>
        <v>l</v>
      </c>
      <c r="BO44" s="517" t="str">
        <f t="shared" ca="1" si="0"/>
        <v>"l": { commit: "ㄠ" }</v>
      </c>
      <c r="BQ44" s="161">
        <v>41</v>
      </c>
      <c r="BR44" s="532" t="s">
        <v>185</v>
      </c>
      <c r="BS44" s="532">
        <v>41</v>
      </c>
      <c r="BT44" s="533" t="s">
        <v>172</v>
      </c>
      <c r="BU44" s="534">
        <v>41</v>
      </c>
      <c r="BV44" s="534" t="s">
        <v>102</v>
      </c>
      <c r="BX44" s="536">
        <f t="shared" si="1"/>
        <v>41</v>
      </c>
      <c r="BY44" s="537" t="s">
        <v>102</v>
      </c>
      <c r="BZ44" s="226" t="s">
        <v>216</v>
      </c>
      <c r="CA44" s="225" t="s">
        <v>273</v>
      </c>
      <c r="CD44" s="411">
        <f t="shared" si="2"/>
        <v>41</v>
      </c>
      <c r="CE44" s="543" t="s">
        <v>81</v>
      </c>
      <c r="CF44" s="409" t="s">
        <v>512</v>
      </c>
      <c r="CG44" s="408" t="s">
        <v>904</v>
      </c>
    </row>
    <row r="45" spans="2:85" ht="31.5" customHeight="1">
      <c r="B45" s="406"/>
      <c r="C45" s="406"/>
      <c r="D45" s="406"/>
      <c r="E45" s="406"/>
      <c r="F45" s="406"/>
      <c r="G45" s="406"/>
      <c r="H45" s="406"/>
      <c r="I45" s="406"/>
      <c r="J45" s="406"/>
      <c r="K45" s="406"/>
      <c r="L45" s="406"/>
      <c r="M45" s="406"/>
      <c r="N45" s="406"/>
      <c r="O45" s="406"/>
      <c r="P45" s="406"/>
      <c r="Q45" s="406"/>
      <c r="R45" s="406"/>
      <c r="S45" s="406"/>
      <c r="T45" s="406"/>
      <c r="U45" s="406"/>
      <c r="V45" s="406"/>
      <c r="W45" s="406"/>
      <c r="X45" s="406"/>
      <c r="Y45" s="406"/>
      <c r="Z45" s="406"/>
      <c r="AA45" s="406"/>
      <c r="AB45" s="406"/>
      <c r="AC45" s="406"/>
      <c r="AD45" s="406"/>
      <c r="AE45" s="406"/>
      <c r="AF45" s="406"/>
      <c r="AG45" s="406"/>
      <c r="AH45" s="406"/>
      <c r="AI45" s="406"/>
      <c r="AJ45" s="406"/>
      <c r="AK45" s="406"/>
      <c r="AL45" s="406"/>
      <c r="AM45" s="406"/>
      <c r="AN45" s="406"/>
      <c r="AO45" s="406"/>
      <c r="AP45" s="406"/>
      <c r="AQ45" s="406"/>
      <c r="AR45" s="406"/>
      <c r="AS45" s="406"/>
      <c r="AT45" s="406"/>
      <c r="AU45" s="406"/>
      <c r="AV45" s="406"/>
      <c r="AW45" s="406"/>
      <c r="AX45" s="406"/>
      <c r="AY45" s="406"/>
      <c r="AZ45" s="406"/>
      <c r="BA45" s="406"/>
      <c r="BB45" s="406"/>
      <c r="BC45" s="406"/>
      <c r="BD45" s="406"/>
      <c r="BE45" s="406"/>
      <c r="BF45" s="406"/>
      <c r="BG45" s="406"/>
      <c r="BH45" s="406"/>
      <c r="BI45" s="411">
        <v>42</v>
      </c>
      <c r="BJ45" s="543" t="str" cm="1">
        <f t="array" aca="1" ref="BJ45" ca="1" xml:space="preserve"> INDIRECT( ADDRESS( ROW($C$17), COLUMN($C$17) +$BI45) )</f>
        <v>ㆯ</v>
      </c>
      <c r="BK45" s="409" t="str" cm="1">
        <f t="array" aca="1" ref="BK45" ca="1" xml:space="preserve"> INDIRECT( ADDRESS( ROW($C$19), COLUMN($C$19) +$BI45) )</f>
        <v>auN</v>
      </c>
      <c r="BL45" s="408" t="str" cm="1">
        <f t="array" aca="1" ref="BL45" ca="1" xml:space="preserve"> INDIRECT( ADDRESS( ROW($C$18), COLUMN($C$18) +$BI45) )</f>
        <v>X</v>
      </c>
      <c r="BM45" s="407" t="str" cm="1">
        <f t="array" aca="1" ref="BM45" ca="1" xml:space="preserve"> INDIRECT( ADDRESS( ROW($C$16), COLUMN($C$16) +$BI45) )</f>
        <v>L</v>
      </c>
      <c r="BO45" s="517" t="str">
        <f t="shared" ca="1" si="0"/>
        <v>"L": { commit: "ㆯ" }</v>
      </c>
      <c r="BQ45" s="161">
        <v>42</v>
      </c>
      <c r="BR45" s="294" t="s">
        <v>77</v>
      </c>
      <c r="BS45" s="294">
        <v>42</v>
      </c>
      <c r="BT45" s="529" t="s">
        <v>49</v>
      </c>
      <c r="BU45" s="512">
        <v>42</v>
      </c>
      <c r="BV45" s="512" t="s">
        <v>48</v>
      </c>
      <c r="BX45" s="536">
        <f t="shared" si="1"/>
        <v>42</v>
      </c>
      <c r="BY45" s="537" t="s">
        <v>48</v>
      </c>
      <c r="BZ45" s="226" t="s">
        <v>214</v>
      </c>
      <c r="CA45" s="225" t="s">
        <v>272</v>
      </c>
      <c r="CD45" s="411">
        <f t="shared" si="2"/>
        <v>42</v>
      </c>
      <c r="CE45" s="543" t="s">
        <v>101</v>
      </c>
      <c r="CF45" s="409" t="s">
        <v>515</v>
      </c>
      <c r="CG45" s="408" t="s">
        <v>905</v>
      </c>
    </row>
    <row r="46" spans="2:85" ht="31.5" customHeight="1">
      <c r="B46" s="406"/>
      <c r="C46" s="406"/>
      <c r="D46" s="406"/>
      <c r="E46" s="406"/>
      <c r="F46" s="406"/>
      <c r="G46" s="406"/>
      <c r="H46" s="406"/>
      <c r="I46" s="406"/>
      <c r="J46" s="406"/>
      <c r="K46" s="406"/>
      <c r="L46" s="406"/>
      <c r="M46" s="406"/>
      <c r="N46" s="406"/>
      <c r="O46" s="406"/>
      <c r="P46" s="406"/>
      <c r="Q46" s="406"/>
      <c r="R46" s="406"/>
      <c r="S46" s="406"/>
      <c r="T46" s="406"/>
      <c r="U46" s="406"/>
      <c r="V46" s="406"/>
      <c r="W46" s="406"/>
      <c r="X46" s="406"/>
      <c r="Y46" s="406"/>
      <c r="Z46" s="406"/>
      <c r="AA46" s="406"/>
      <c r="AB46" s="406"/>
      <c r="AC46" s="406"/>
      <c r="AD46" s="406"/>
      <c r="AE46" s="406"/>
      <c r="AF46" s="406"/>
      <c r="AG46" s="406"/>
      <c r="AH46" s="406"/>
      <c r="AI46" s="406"/>
      <c r="AJ46" s="406"/>
      <c r="AK46" s="406"/>
      <c r="AL46" s="406"/>
      <c r="AM46" s="406"/>
      <c r="AN46" s="406"/>
      <c r="AO46" s="406"/>
      <c r="AP46" s="406"/>
      <c r="AQ46" s="406"/>
      <c r="AR46" s="406"/>
      <c r="AS46" s="406"/>
      <c r="AT46" s="406"/>
      <c r="AU46" s="406"/>
      <c r="AV46" s="406"/>
      <c r="AW46" s="406"/>
      <c r="AX46" s="406"/>
      <c r="AY46" s="406"/>
      <c r="AZ46" s="406"/>
      <c r="BA46" s="406"/>
      <c r="BB46" s="406"/>
      <c r="BC46" s="406"/>
      <c r="BD46" s="406"/>
      <c r="BE46" s="406"/>
      <c r="BF46" s="406"/>
      <c r="BG46" s="406"/>
      <c r="BH46" s="406"/>
      <c r="BI46" s="411">
        <v>43</v>
      </c>
      <c r="BJ46" s="543" t="str" cm="1">
        <f t="array" aca="1" ref="BJ46" ca="1" xml:space="preserve"> INDIRECT( ADDRESS( ROW($C$17), COLUMN($C$17) +$BI46) )</f>
        <v>ㄢ</v>
      </c>
      <c r="BK46" s="409" t="str" cm="1">
        <f t="array" aca="1" ref="BK46" ca="1" xml:space="preserve"> INDIRECT( ADDRESS( ROW($C$19), COLUMN($C$19) +$BI46) )</f>
        <v>an</v>
      </c>
      <c r="BL46" s="408" t="str" cm="1">
        <f t="array" aca="1" ref="BL46" ca="1" xml:space="preserve"> INDIRECT( ADDRESS( ROW($C$18), COLUMN($C$18) +$BI46) )</f>
        <v>@</v>
      </c>
      <c r="BM46" s="407" t="str" cm="1">
        <f t="array" aca="1" ref="BM46" ca="1" xml:space="preserve"> INDIRECT( ADDRESS( ROW($C$16), COLUMN($C$16) +$BI46) )</f>
        <v>0</v>
      </c>
      <c r="BO46" s="517" t="str">
        <f t="shared" ca="1" si="0"/>
        <v>"0": { commit: "ㄢ" }</v>
      </c>
      <c r="BQ46" s="161">
        <v>43</v>
      </c>
      <c r="BR46" s="294" t="s">
        <v>30</v>
      </c>
      <c r="BS46" s="294">
        <v>43</v>
      </c>
      <c r="BT46" s="529" t="s">
        <v>31</v>
      </c>
      <c r="BU46" s="512">
        <v>43</v>
      </c>
      <c r="BV46" s="512" t="s">
        <v>116</v>
      </c>
      <c r="CD46" s="411">
        <f t="shared" si="2"/>
        <v>43</v>
      </c>
      <c r="CE46" s="543" t="s">
        <v>115</v>
      </c>
      <c r="CF46" s="409" t="s">
        <v>930</v>
      </c>
      <c r="CG46" s="408" t="s">
        <v>27</v>
      </c>
    </row>
    <row r="47" spans="2:85" ht="31.5" customHeight="1">
      <c r="B47" s="406"/>
      <c r="C47" s="406"/>
      <c r="D47" s="406"/>
      <c r="E47" s="406"/>
      <c r="F47" s="406"/>
      <c r="G47" s="406"/>
      <c r="H47" s="406"/>
      <c r="I47" s="406"/>
      <c r="J47" s="406"/>
      <c r="K47" s="406"/>
      <c r="L47" s="406"/>
      <c r="M47" s="406"/>
      <c r="N47" s="406"/>
      <c r="O47" s="406"/>
      <c r="P47" s="406"/>
      <c r="Q47" s="406"/>
      <c r="R47" s="406"/>
      <c r="S47" s="406"/>
      <c r="T47" s="406"/>
      <c r="U47" s="406"/>
      <c r="V47" s="406"/>
      <c r="W47" s="406"/>
      <c r="X47" s="406"/>
      <c r="Y47" s="406"/>
      <c r="Z47" s="406"/>
      <c r="AA47" s="406"/>
      <c r="AB47" s="406"/>
      <c r="AC47" s="406"/>
      <c r="AD47" s="406"/>
      <c r="AE47" s="406"/>
      <c r="AF47" s="406"/>
      <c r="AG47" s="406"/>
      <c r="AH47" s="406"/>
      <c r="AI47" s="406"/>
      <c r="AJ47" s="406"/>
      <c r="AK47" s="406"/>
      <c r="AL47" s="406"/>
      <c r="AM47" s="406"/>
      <c r="AN47" s="406"/>
      <c r="AO47" s="406"/>
      <c r="AP47" s="406"/>
      <c r="AQ47" s="406"/>
      <c r="AR47" s="406"/>
      <c r="AS47" s="406"/>
      <c r="AT47" s="406"/>
      <c r="AU47" s="406"/>
      <c r="AV47" s="406"/>
      <c r="AW47" s="406"/>
      <c r="AX47" s="406"/>
      <c r="AY47" s="406"/>
      <c r="AZ47" s="406"/>
      <c r="BA47" s="406"/>
      <c r="BB47" s="406"/>
      <c r="BC47" s="406"/>
      <c r="BD47" s="406"/>
      <c r="BE47" s="406"/>
      <c r="BF47" s="406"/>
      <c r="BG47" s="406"/>
      <c r="BH47" s="406"/>
      <c r="BI47" s="411">
        <v>44</v>
      </c>
      <c r="BJ47" s="543" t="str" cm="1">
        <f t="array" aca="1" ref="BJ47" ca="1" xml:space="preserve"> INDIRECT( ADDRESS( ROW($C$17), COLUMN($C$17) +$BI47) )</f>
        <v>ㆲ</v>
      </c>
      <c r="BK47" s="409" t="str" cm="1">
        <f t="array" aca="1" ref="BK47" ca="1" xml:space="preserve"> INDIRECT( ADDRESS( ROW($C$19), COLUMN($C$19) +$BI47) )</f>
        <v>ong</v>
      </c>
      <c r="BL47" s="408" t="str" cm="1">
        <f t="array" aca="1" ref="BL47" ca="1" xml:space="preserve"> INDIRECT( ADDRESS( ROW($C$18), COLUMN($C$18) +$BI47) )</f>
        <v>]</v>
      </c>
      <c r="BM47" s="407" t="str" cm="1">
        <f t="array" aca="1" ref="BM47" ca="1" xml:space="preserve"> INDIRECT( ADDRESS( ROW($C$16), COLUMN($C$16) +$BI47) )</f>
        <v>:</v>
      </c>
      <c r="BO47" s="517" t="str">
        <f t="shared" ca="1" si="0"/>
        <v>":": { commit: "ㆲ" }</v>
      </c>
      <c r="BQ47" s="161">
        <v>44</v>
      </c>
      <c r="BR47" s="294" t="s">
        <v>97</v>
      </c>
      <c r="BS47" s="294">
        <v>44</v>
      </c>
      <c r="BT47" s="529" t="s">
        <v>77</v>
      </c>
      <c r="BU47" s="512">
        <v>44</v>
      </c>
      <c r="BV47" s="512" t="s">
        <v>76</v>
      </c>
      <c r="CD47" s="411">
        <f t="shared" si="2"/>
        <v>44</v>
      </c>
      <c r="CE47" s="543" t="s">
        <v>113</v>
      </c>
      <c r="CF47" s="409" t="s">
        <v>503</v>
      </c>
      <c r="CG47" s="408" t="s">
        <v>902</v>
      </c>
    </row>
    <row r="48" spans="2:85" ht="31.5" customHeight="1">
      <c r="B48" s="406"/>
      <c r="C48" s="406"/>
      <c r="D48" s="406"/>
      <c r="E48" s="406"/>
      <c r="F48" s="406"/>
      <c r="G48" s="406"/>
      <c r="H48" s="406"/>
      <c r="I48" s="406"/>
      <c r="J48" s="406"/>
      <c r="K48" s="406"/>
      <c r="L48" s="406"/>
      <c r="M48" s="406"/>
      <c r="N48" s="406"/>
      <c r="O48" s="406"/>
      <c r="P48" s="406"/>
      <c r="Q48" s="406"/>
      <c r="R48" s="406"/>
      <c r="S48" s="406"/>
      <c r="T48" s="406"/>
      <c r="U48" s="406"/>
      <c r="V48" s="406"/>
      <c r="W48" s="406"/>
      <c r="X48" s="406"/>
      <c r="Y48" s="406"/>
      <c r="Z48" s="406"/>
      <c r="AA48" s="406"/>
      <c r="AB48" s="406"/>
      <c r="AC48" s="406"/>
      <c r="AD48" s="406"/>
      <c r="AE48" s="406"/>
      <c r="AF48" s="406"/>
      <c r="AG48" s="406"/>
      <c r="AH48" s="406"/>
      <c r="AI48" s="406"/>
      <c r="AJ48" s="406"/>
      <c r="AK48" s="406"/>
      <c r="AL48" s="406"/>
      <c r="AM48" s="406"/>
      <c r="AN48" s="406"/>
      <c r="AO48" s="406"/>
      <c r="AP48" s="406"/>
      <c r="AQ48" s="406"/>
      <c r="AR48" s="406"/>
      <c r="AS48" s="406"/>
      <c r="AT48" s="406"/>
      <c r="AU48" s="406"/>
      <c r="AV48" s="406"/>
      <c r="AW48" s="406"/>
      <c r="AX48" s="406"/>
      <c r="AY48" s="406"/>
      <c r="AZ48" s="406"/>
      <c r="BA48" s="406"/>
      <c r="BB48" s="406"/>
      <c r="BC48" s="406"/>
      <c r="BD48" s="406"/>
      <c r="BE48" s="406"/>
      <c r="BF48" s="406"/>
      <c r="BG48" s="406"/>
      <c r="BH48" s="406"/>
      <c r="BI48" s="411">
        <v>45</v>
      </c>
      <c r="BJ48" s="543" t="str" cm="1">
        <f t="array" aca="1" ref="BJ48" ca="1" xml:space="preserve"> INDIRECT( ADDRESS( ROW($C$17), COLUMN($C$17) +$BI48) )</f>
        <v>ㄤ</v>
      </c>
      <c r="BK48" s="409" t="str" cm="1">
        <f t="array" aca="1" ref="BK48" ca="1" xml:space="preserve"> INDIRECT( ADDRESS( ROW($C$19), COLUMN($C$19) +$BI48) )</f>
        <v>ang</v>
      </c>
      <c r="BL48" s="408" t="str" cm="1">
        <f t="array" aca="1" ref="BL48" ca="1" xml:space="preserve"> INDIRECT( ADDRESS( ROW($C$18), COLUMN($C$18) +$BI48) )</f>
        <v>[</v>
      </c>
      <c r="BM48" s="407" t="str" cm="1">
        <f t="array" aca="1" ref="BM48" ca="1" xml:space="preserve"> INDIRECT( ADDRESS( ROW($C$16), COLUMN($C$16) +$BI48) )</f>
        <v>;</v>
      </c>
      <c r="BO48" s="517" t="str">
        <f t="shared" ca="1" si="0"/>
        <v>";": { commit: "ㄤ" }</v>
      </c>
      <c r="BQ48" s="161">
        <v>45</v>
      </c>
      <c r="BR48" s="294" t="s">
        <v>61</v>
      </c>
      <c r="BS48" s="294">
        <v>45</v>
      </c>
      <c r="BT48" s="529" t="s">
        <v>30</v>
      </c>
      <c r="BU48" s="512">
        <v>45</v>
      </c>
      <c r="BV48" s="512" t="s">
        <v>117</v>
      </c>
      <c r="CD48" s="411">
        <f t="shared" si="2"/>
        <v>45</v>
      </c>
      <c r="CE48" s="543" t="s">
        <v>114</v>
      </c>
      <c r="CF48" s="409" t="s">
        <v>506</v>
      </c>
      <c r="CG48" s="408" t="s">
        <v>903</v>
      </c>
    </row>
    <row r="49" spans="2:85" ht="31.5" customHeight="1">
      <c r="B49" s="406"/>
      <c r="C49" s="406"/>
      <c r="D49" s="406"/>
      <c r="E49" s="406"/>
      <c r="F49" s="406"/>
      <c r="G49" s="406"/>
      <c r="H49" s="406"/>
      <c r="I49" s="406"/>
      <c r="J49" s="406"/>
      <c r="K49" s="406"/>
      <c r="L49" s="406"/>
      <c r="M49" s="406"/>
      <c r="N49" s="406"/>
      <c r="O49" s="406"/>
      <c r="P49" s="406"/>
      <c r="Q49" s="406"/>
      <c r="R49" s="406"/>
      <c r="S49" s="406"/>
      <c r="T49" s="406"/>
      <c r="U49" s="406"/>
      <c r="V49" s="406"/>
      <c r="W49" s="406"/>
      <c r="X49" s="406"/>
      <c r="Y49" s="406"/>
      <c r="Z49" s="406"/>
      <c r="AA49" s="406"/>
      <c r="AB49" s="406"/>
      <c r="AC49" s="406"/>
      <c r="AD49" s="406"/>
      <c r="AE49" s="406"/>
      <c r="AF49" s="406"/>
      <c r="AG49" s="406"/>
      <c r="AH49" s="406"/>
      <c r="AI49" s="406"/>
      <c r="AJ49" s="406"/>
      <c r="AK49" s="406"/>
      <c r="AL49" s="406"/>
      <c r="AM49" s="406"/>
      <c r="AN49" s="406"/>
      <c r="AO49" s="406"/>
      <c r="AP49" s="406"/>
      <c r="AQ49" s="406"/>
      <c r="AR49" s="406"/>
      <c r="AS49" s="406"/>
      <c r="AT49" s="406"/>
      <c r="AU49" s="406"/>
      <c r="AV49" s="406"/>
      <c r="AW49" s="406"/>
      <c r="AX49" s="406"/>
      <c r="AY49" s="406"/>
      <c r="AZ49" s="406"/>
      <c r="BA49" s="406"/>
      <c r="BB49" s="406"/>
      <c r="BC49" s="406"/>
      <c r="BD49" s="406"/>
      <c r="BE49" s="406"/>
      <c r="BF49" s="406"/>
      <c r="BG49" s="406"/>
      <c r="BH49" s="406"/>
      <c r="BI49" s="411">
        <v>46</v>
      </c>
      <c r="BJ49" s="543" t="str" cm="1">
        <f t="array" aca="1" ref="BJ49" ca="1" xml:space="preserve"> INDIRECT( ADDRESS( ROW($C$17), COLUMN($C$17) +$BI49) )</f>
        <v>ㄥ</v>
      </c>
      <c r="BK49" s="409" t="str" cm="1">
        <f t="array" aca="1" ref="BK49" ca="1" xml:space="preserve"> INDIRECT( ADDRESS( ROW($C$19), COLUMN($C$19) +$BI49) )</f>
        <v>ing</v>
      </c>
      <c r="BL49" s="408" t="str" cm="1">
        <f t="array" aca="1" ref="BL49" ca="1" xml:space="preserve"> INDIRECT( ADDRESS( ROW($C$18), COLUMN($C$18) +$BI49) )</f>
        <v>R</v>
      </c>
      <c r="BM49" s="407" t="str" cm="1">
        <f t="array" aca="1" ref="BM49" ca="1" xml:space="preserve"> INDIRECT( ADDRESS( ROW($C$16), COLUMN($C$16) +$BI49) )</f>
        <v>?</v>
      </c>
      <c r="BO49" s="517" t="str">
        <f t="shared" ca="1" si="0"/>
        <v>"?": { commit: "ㄥ" }</v>
      </c>
      <c r="BQ49" s="161">
        <v>46</v>
      </c>
      <c r="BR49" s="294" t="s">
        <v>91</v>
      </c>
      <c r="BS49" s="294">
        <v>49</v>
      </c>
      <c r="BT49" s="529" t="s">
        <v>178</v>
      </c>
      <c r="BU49" s="512">
        <v>49</v>
      </c>
      <c r="BV49" s="512" t="s">
        <v>119</v>
      </c>
      <c r="CD49" s="411">
        <f t="shared" si="2"/>
        <v>46</v>
      </c>
      <c r="CE49" s="543" t="s">
        <v>119</v>
      </c>
      <c r="CF49" s="409">
        <v>0</v>
      </c>
      <c r="CG49" s="408" t="s">
        <v>178</v>
      </c>
    </row>
    <row r="50" spans="2:85" ht="31.5" customHeight="1">
      <c r="B50" s="406"/>
      <c r="C50" s="406"/>
      <c r="D50" s="406"/>
      <c r="E50" s="406"/>
      <c r="F50" s="406"/>
      <c r="G50" s="406"/>
      <c r="H50" s="406"/>
      <c r="I50" s="406"/>
      <c r="J50" s="406"/>
      <c r="K50" s="406"/>
      <c r="L50" s="406"/>
      <c r="M50" s="406"/>
      <c r="N50" s="406"/>
      <c r="O50" s="406"/>
      <c r="P50" s="406"/>
      <c r="Q50" s="406"/>
      <c r="R50" s="406"/>
      <c r="S50" s="406"/>
      <c r="T50" s="406"/>
      <c r="U50" s="406"/>
      <c r="V50" s="406"/>
      <c r="W50" s="406"/>
      <c r="X50" s="406"/>
      <c r="Y50" s="406"/>
      <c r="Z50" s="406"/>
      <c r="AA50" s="406"/>
      <c r="AB50" s="406"/>
      <c r="AC50" s="406"/>
      <c r="AD50" s="406"/>
      <c r="AE50" s="406"/>
      <c r="AF50" s="406"/>
      <c r="AG50" s="406"/>
      <c r="AH50" s="406"/>
      <c r="AI50" s="406"/>
      <c r="AJ50" s="406"/>
      <c r="AK50" s="406"/>
      <c r="AL50" s="406"/>
      <c r="AM50" s="406"/>
      <c r="AN50" s="406"/>
      <c r="AO50" s="406"/>
      <c r="AP50" s="406"/>
      <c r="AQ50" s="406"/>
      <c r="AR50" s="406"/>
      <c r="AS50" s="406"/>
      <c r="AT50" s="406"/>
      <c r="AU50" s="406"/>
      <c r="AV50" s="406"/>
      <c r="AW50" s="406"/>
      <c r="AX50" s="406"/>
      <c r="AY50" s="406"/>
      <c r="AZ50" s="406"/>
      <c r="BA50" s="406"/>
      <c r="BB50" s="406"/>
      <c r="BC50" s="406"/>
      <c r="BD50" s="406"/>
      <c r="BE50" s="406"/>
      <c r="BF50" s="406"/>
      <c r="BG50" s="406"/>
      <c r="BH50" s="406"/>
      <c r="BI50" s="411">
        <v>47</v>
      </c>
      <c r="BJ50" s="543" t="str" cm="1">
        <f t="array" aca="1" ref="BJ50" ca="1" xml:space="preserve"> INDIRECT( ADDRESS( ROW($C$17), COLUMN($C$17) +$BI50) )</f>
        <v>ˉ</v>
      </c>
      <c r="BK50" s="409" cm="1">
        <f t="array" aca="1" ref="BK50" ca="1" xml:space="preserve"> INDIRECT( ADDRESS( ROW($C$19), COLUMN($C$19) +$BI50) )</f>
        <v>1</v>
      </c>
      <c r="BL50" s="408" cm="1">
        <f t="array" aca="1" ref="BL50" ca="1" xml:space="preserve"> INDIRECT( ADDRESS( ROW($C$18), COLUMN($C$18) +$BI50) )</f>
        <v>1</v>
      </c>
      <c r="BM50" s="407" t="str" cm="1">
        <f t="array" aca="1" ref="BM50" ca="1" xml:space="preserve"> INDIRECT( ADDRESS( ROW($C$16), COLUMN($C$16) +$BI50) )</f>
        <v xml:space="preserve"> </v>
      </c>
      <c r="BO50" s="517" t="str">
        <f t="shared" ca="1" si="0"/>
        <v>" ": { commit: "ˉ" }</v>
      </c>
      <c r="BQ50" s="161">
        <v>47</v>
      </c>
      <c r="BR50" s="294" t="s">
        <v>11</v>
      </c>
      <c r="BS50" s="294">
        <v>50</v>
      </c>
      <c r="BT50" s="529" t="s">
        <v>908</v>
      </c>
      <c r="BU50" s="512">
        <v>50</v>
      </c>
      <c r="BV50" s="512" t="s">
        <v>120</v>
      </c>
      <c r="CD50" s="411">
        <f t="shared" si="2"/>
        <v>47</v>
      </c>
      <c r="CE50" s="543" t="s">
        <v>120</v>
      </c>
      <c r="CF50" s="409">
        <v>0</v>
      </c>
      <c r="CG50" s="408" t="s">
        <v>908</v>
      </c>
    </row>
    <row r="51" spans="2:85" ht="31.5" customHeight="1">
      <c r="B51" s="406"/>
      <c r="C51" s="406"/>
      <c r="D51" s="406"/>
      <c r="E51" s="406"/>
      <c r="F51" s="406"/>
      <c r="G51" s="406"/>
      <c r="H51" s="406"/>
      <c r="I51" s="406"/>
      <c r="J51" s="406"/>
      <c r="K51" s="406"/>
      <c r="L51" s="406"/>
      <c r="M51" s="406"/>
      <c r="N51" s="406"/>
      <c r="O51" s="406"/>
      <c r="P51" s="406"/>
      <c r="Q51" s="406"/>
      <c r="R51" s="406"/>
      <c r="S51" s="406"/>
      <c r="T51" s="406"/>
      <c r="U51" s="406"/>
      <c r="V51" s="406"/>
      <c r="W51" s="406"/>
      <c r="X51" s="406"/>
      <c r="Y51" s="406"/>
      <c r="Z51" s="406"/>
      <c r="AA51" s="406"/>
      <c r="AB51" s="406"/>
      <c r="AC51" s="406"/>
      <c r="AD51" s="406"/>
      <c r="AE51" s="406"/>
      <c r="AF51" s="406"/>
      <c r="AG51" s="406"/>
      <c r="AH51" s="406"/>
      <c r="AI51" s="406"/>
      <c r="AJ51" s="406"/>
      <c r="AK51" s="406"/>
      <c r="AL51" s="406"/>
      <c r="AM51" s="406"/>
      <c r="AN51" s="406"/>
      <c r="AO51" s="406"/>
      <c r="AP51" s="406"/>
      <c r="AQ51" s="406"/>
      <c r="AR51" s="406"/>
      <c r="AS51" s="406"/>
      <c r="AT51" s="406"/>
      <c r="AU51" s="406"/>
      <c r="AV51" s="406"/>
      <c r="AW51" s="406"/>
      <c r="AX51" s="406"/>
      <c r="AY51" s="406"/>
      <c r="AZ51" s="406"/>
      <c r="BA51" s="406"/>
      <c r="BB51" s="406"/>
      <c r="BC51" s="406"/>
      <c r="BD51" s="406"/>
      <c r="BE51" s="406"/>
      <c r="BF51" s="406"/>
      <c r="BG51" s="406"/>
      <c r="BH51" s="406"/>
      <c r="BI51" s="411">
        <v>48</v>
      </c>
      <c r="BJ51" s="543" t="str" cm="1">
        <f t="array" aca="1" ref="BJ51" ca="1" xml:space="preserve"> INDIRECT( ADDRESS( ROW($C$17), COLUMN($C$17) +$BI51) )</f>
        <v>ˋ</v>
      </c>
      <c r="BK51" s="409" cm="1">
        <f t="array" aca="1" ref="BK51" ca="1" xml:space="preserve"> INDIRECT( ADDRESS( ROW($C$19), COLUMN($C$19) +$BI51) )</f>
        <v>2</v>
      </c>
      <c r="BL51" s="408" cm="1">
        <f t="array" aca="1" ref="BL51" ca="1" xml:space="preserve"> INDIRECT( ADDRESS( ROW($C$18), COLUMN($C$18) +$BI51) )</f>
        <v>2</v>
      </c>
      <c r="BM51" s="407" t="str" cm="1">
        <f t="array" aca="1" ref="BM51" ca="1" xml:space="preserve"> INDIRECT( ADDRESS( ROW($C$16), COLUMN($C$16) +$BI51) )</f>
        <v>4</v>
      </c>
      <c r="BO51" s="517" t="str">
        <f t="shared" ca="1" si="0"/>
        <v>"4": { commit: "ˋ" }</v>
      </c>
      <c r="BQ51" s="161">
        <v>48</v>
      </c>
      <c r="BR51" s="294" t="s">
        <v>45</v>
      </c>
      <c r="BS51" s="294">
        <v>51</v>
      </c>
      <c r="BT51" s="529" t="s">
        <v>181</v>
      </c>
      <c r="BU51" s="512">
        <v>51</v>
      </c>
      <c r="BV51" s="512" t="s">
        <v>121</v>
      </c>
      <c r="CD51" s="411">
        <f t="shared" si="2"/>
        <v>48</v>
      </c>
      <c r="CE51" s="543" t="s">
        <v>121</v>
      </c>
      <c r="CF51" s="409">
        <v>0</v>
      </c>
      <c r="CG51" s="408" t="s">
        <v>181</v>
      </c>
    </row>
    <row r="52" spans="2:85" ht="31.5" customHeight="1">
      <c r="B52" s="406"/>
      <c r="C52" s="406"/>
      <c r="D52" s="406"/>
      <c r="E52" s="406"/>
      <c r="F52" s="406"/>
      <c r="G52" s="406"/>
      <c r="H52" s="406"/>
      <c r="I52" s="406"/>
      <c r="J52" s="406"/>
      <c r="K52" s="406"/>
      <c r="L52" s="406"/>
      <c r="M52" s="406"/>
      <c r="N52" s="406"/>
      <c r="O52" s="406"/>
      <c r="P52" s="406"/>
      <c r="Q52" s="406"/>
      <c r="R52" s="406"/>
      <c r="S52" s="406"/>
      <c r="T52" s="406"/>
      <c r="U52" s="406"/>
      <c r="V52" s="406"/>
      <c r="W52" s="406"/>
      <c r="X52" s="406"/>
      <c r="Y52" s="406"/>
      <c r="Z52" s="406"/>
      <c r="AA52" s="406"/>
      <c r="AB52" s="406"/>
      <c r="AC52" s="406"/>
      <c r="AD52" s="406"/>
      <c r="AE52" s="406"/>
      <c r="AF52" s="406"/>
      <c r="AG52" s="406"/>
      <c r="AH52" s="406"/>
      <c r="AI52" s="406"/>
      <c r="AJ52" s="406"/>
      <c r="AK52" s="406"/>
      <c r="AL52" s="406"/>
      <c r="AM52" s="406"/>
      <c r="AN52" s="406"/>
      <c r="AO52" s="406"/>
      <c r="AP52" s="406"/>
      <c r="AQ52" s="406"/>
      <c r="AR52" s="406"/>
      <c r="AS52" s="406"/>
      <c r="AT52" s="406"/>
      <c r="AU52" s="406"/>
      <c r="AV52" s="406"/>
      <c r="AW52" s="406"/>
      <c r="AX52" s="406"/>
      <c r="AY52" s="406"/>
      <c r="AZ52" s="406"/>
      <c r="BA52" s="406"/>
      <c r="BB52" s="406"/>
      <c r="BC52" s="406"/>
      <c r="BD52" s="406"/>
      <c r="BE52" s="406"/>
      <c r="BF52" s="406"/>
      <c r="BG52" s="406"/>
      <c r="BH52" s="406"/>
      <c r="BI52" s="411">
        <v>49</v>
      </c>
      <c r="BJ52" s="543" t="str" cm="1">
        <f t="array" aca="1" ref="BJ52" ca="1" xml:space="preserve"> INDIRECT( ADDRESS( ROW($C$17), COLUMN($C$17) +$BI52) )</f>
        <v>˪</v>
      </c>
      <c r="BK52" s="409" cm="1">
        <f t="array" aca="1" ref="BK52" ca="1" xml:space="preserve"> INDIRECT( ADDRESS( ROW($C$19), COLUMN($C$19) +$BI52) )</f>
        <v>3</v>
      </c>
      <c r="BL52" s="408" cm="1">
        <f t="array" aca="1" ref="BL52" ca="1" xml:space="preserve"> INDIRECT( ADDRESS( ROW($C$18), COLUMN($C$18) +$BI52) )</f>
        <v>3</v>
      </c>
      <c r="BM52" s="407" t="str" cm="1">
        <f t="array" aca="1" ref="BM52" ca="1" xml:space="preserve"> INDIRECT( ADDRESS( ROW($C$16), COLUMN($C$16) +$BI52) )</f>
        <v>3</v>
      </c>
      <c r="BO52" s="517" t="str">
        <f t="shared" ca="1" si="0"/>
        <v>"3": { commit: "˪" }</v>
      </c>
      <c r="BQ52" s="161">
        <v>49</v>
      </c>
      <c r="BR52" s="294" t="s">
        <v>165</v>
      </c>
      <c r="BS52" s="294">
        <v>52</v>
      </c>
      <c r="BT52" s="529" t="s">
        <v>186</v>
      </c>
      <c r="BU52" s="512">
        <v>52</v>
      </c>
      <c r="BV52" s="512" t="s">
        <v>122</v>
      </c>
      <c r="CD52" s="411">
        <f t="shared" si="2"/>
        <v>49</v>
      </c>
      <c r="CE52" s="543" t="s">
        <v>122</v>
      </c>
      <c r="CF52" s="409">
        <v>0</v>
      </c>
      <c r="CG52" s="408" t="s">
        <v>186</v>
      </c>
    </row>
    <row r="53" spans="2:85" ht="31.5" customHeight="1">
      <c r="B53" s="406"/>
      <c r="C53" s="406"/>
      <c r="D53" s="406"/>
      <c r="E53" s="406"/>
      <c r="F53" s="406"/>
      <c r="G53" s="406"/>
      <c r="H53" s="406"/>
      <c r="I53" s="406"/>
      <c r="J53" s="406"/>
      <c r="K53" s="406"/>
      <c r="L53" s="406"/>
      <c r="M53" s="406"/>
      <c r="N53" s="406"/>
      <c r="O53" s="406"/>
      <c r="P53" s="406"/>
      <c r="Q53" s="406"/>
      <c r="R53" s="406"/>
      <c r="S53" s="406"/>
      <c r="T53" s="406"/>
      <c r="U53" s="406"/>
      <c r="V53" s="406"/>
      <c r="W53" s="406"/>
      <c r="X53" s="406"/>
      <c r="Y53" s="406"/>
      <c r="Z53" s="406"/>
      <c r="AA53" s="406"/>
      <c r="AB53" s="406"/>
      <c r="AC53" s="406"/>
      <c r="AD53" s="406"/>
      <c r="AE53" s="406"/>
      <c r="AF53" s="406"/>
      <c r="AG53" s="406"/>
      <c r="AH53" s="406"/>
      <c r="AI53" s="406"/>
      <c r="AJ53" s="406"/>
      <c r="AK53" s="406"/>
      <c r="AL53" s="406"/>
      <c r="AM53" s="406"/>
      <c r="AN53" s="406"/>
      <c r="AO53" s="406"/>
      <c r="AP53" s="406"/>
      <c r="AQ53" s="406"/>
      <c r="AR53" s="406"/>
      <c r="AS53" s="406"/>
      <c r="AT53" s="406"/>
      <c r="AU53" s="406"/>
      <c r="AV53" s="406"/>
      <c r="AW53" s="406"/>
      <c r="AX53" s="406"/>
      <c r="AY53" s="406"/>
      <c r="AZ53" s="406"/>
      <c r="BA53" s="406"/>
      <c r="BB53" s="406"/>
      <c r="BC53" s="406"/>
      <c r="BD53" s="406"/>
      <c r="BE53" s="406"/>
      <c r="BF53" s="406"/>
      <c r="BG53" s="406"/>
      <c r="BH53" s="406"/>
      <c r="BI53" s="411">
        <v>50</v>
      </c>
      <c r="BJ53" s="543" t="str" cm="1">
        <f t="array" aca="1" ref="BJ53" ca="1" xml:space="preserve"> INDIRECT( ADDRESS( ROW($C$17), COLUMN($C$17) +$BI53) )</f>
        <v>ˊ</v>
      </c>
      <c r="BK53" s="409" cm="1">
        <f t="array" aca="1" ref="BK53" ca="1" xml:space="preserve"> INDIRECT( ADDRESS( ROW($C$19), COLUMN($C$19) +$BI53) )</f>
        <v>5</v>
      </c>
      <c r="BL53" s="408" cm="1">
        <f t="array" aca="1" ref="BL53" ca="1" xml:space="preserve"> INDIRECT( ADDRESS( ROW($C$18), COLUMN($C$18) +$BI53) )</f>
        <v>5</v>
      </c>
      <c r="BM53" s="407" t="str" cm="1">
        <f t="array" aca="1" ref="BM53" ca="1" xml:space="preserve"> INDIRECT( ADDRESS( ROW($C$16), COLUMN($C$16) +$BI53) )</f>
        <v>6</v>
      </c>
      <c r="BO53" s="517" t="str">
        <f t="shared" ca="1" si="0"/>
        <v>"6": { commit: "ˊ" }</v>
      </c>
      <c r="BQ53" s="161">
        <v>50</v>
      </c>
      <c r="BR53" s="294" t="s">
        <v>118</v>
      </c>
      <c r="BS53" s="294">
        <v>46</v>
      </c>
      <c r="BT53" s="529" t="s">
        <v>168</v>
      </c>
      <c r="BU53" s="512">
        <v>46</v>
      </c>
      <c r="BV53" s="512" t="s">
        <v>118</v>
      </c>
    </row>
    <row r="54" spans="2:85" ht="31.5" customHeight="1">
      <c r="B54" s="406"/>
      <c r="C54" s="406"/>
      <c r="D54" s="406"/>
      <c r="E54" s="406"/>
      <c r="F54" s="406"/>
      <c r="G54" s="406"/>
      <c r="H54" s="406"/>
      <c r="I54" s="406"/>
      <c r="J54" s="406"/>
      <c r="K54" s="406"/>
      <c r="L54" s="406"/>
      <c r="M54" s="406"/>
      <c r="N54" s="406"/>
      <c r="O54" s="406"/>
      <c r="P54" s="406"/>
      <c r="Q54" s="406"/>
      <c r="R54" s="406"/>
      <c r="S54" s="406"/>
      <c r="T54" s="406"/>
      <c r="U54" s="406"/>
      <c r="V54" s="406"/>
      <c r="W54" s="406"/>
      <c r="X54" s="406"/>
      <c r="Y54" s="406"/>
      <c r="Z54" s="406"/>
      <c r="AA54" s="406"/>
      <c r="AB54" s="406"/>
      <c r="AC54" s="406"/>
      <c r="AD54" s="406"/>
      <c r="AE54" s="406"/>
      <c r="AF54" s="406"/>
      <c r="AG54" s="406"/>
      <c r="AH54" s="406"/>
      <c r="AI54" s="406"/>
      <c r="AJ54" s="406"/>
      <c r="AK54" s="406"/>
      <c r="AL54" s="406"/>
      <c r="AM54" s="406"/>
      <c r="AN54" s="406"/>
      <c r="AO54" s="406"/>
      <c r="AP54" s="406"/>
      <c r="AQ54" s="406"/>
      <c r="AR54" s="406"/>
      <c r="AS54" s="406"/>
      <c r="AT54" s="406"/>
      <c r="AU54" s="406"/>
      <c r="AV54" s="406"/>
      <c r="AW54" s="406"/>
      <c r="AX54" s="406"/>
      <c r="AY54" s="406"/>
      <c r="AZ54" s="406"/>
      <c r="BA54" s="406"/>
      <c r="BB54" s="406"/>
      <c r="BC54" s="406"/>
      <c r="BD54" s="406"/>
      <c r="BE54" s="406"/>
      <c r="BF54" s="406"/>
      <c r="BG54" s="406"/>
      <c r="BH54" s="406"/>
      <c r="BI54" s="411">
        <v>51</v>
      </c>
      <c r="BJ54" s="543" t="str" cm="1">
        <f t="array" aca="1" ref="BJ54" ca="1" xml:space="preserve"> INDIRECT( ADDRESS( ROW($C$17), COLUMN($C$17) +$BI54) )</f>
        <v>˫</v>
      </c>
      <c r="BK54" s="409" cm="1">
        <f t="array" aca="1" ref="BK54" ca="1" xml:space="preserve"> INDIRECT( ADDRESS( ROW($C$19), COLUMN($C$19) +$BI54) )</f>
        <v>7</v>
      </c>
      <c r="BL54" s="408" cm="1">
        <f t="array" aca="1" ref="BL54" ca="1" xml:space="preserve"> INDIRECT( ADDRESS( ROW($C$18), COLUMN($C$18) +$BI54) )</f>
        <v>7</v>
      </c>
      <c r="BM54" s="407" t="str" cm="1">
        <f t="array" aca="1" ref="BM54" ca="1" xml:space="preserve"> INDIRECT( ADDRESS( ROW($C$16), COLUMN($C$16) +$BI54) )</f>
        <v>5</v>
      </c>
      <c r="BO54" s="517" t="str">
        <f t="shared" ca="1" si="0"/>
        <v>"5": { commit: "˫" }</v>
      </c>
      <c r="BQ54" s="161">
        <v>51</v>
      </c>
      <c r="BR54" s="294" t="s">
        <v>186</v>
      </c>
      <c r="BS54" s="294">
        <v>47</v>
      </c>
      <c r="BT54" s="529" t="s">
        <v>169</v>
      </c>
      <c r="BU54" s="512">
        <v>47</v>
      </c>
      <c r="BV54" s="512" t="s">
        <v>14</v>
      </c>
    </row>
    <row r="55" spans="2:85" ht="38.1" customHeight="1">
      <c r="B55" s="406"/>
      <c r="C55" s="406"/>
      <c r="D55" s="406"/>
      <c r="E55" s="406"/>
      <c r="F55" s="406"/>
      <c r="G55" s="406"/>
      <c r="H55" s="406"/>
      <c r="I55" s="406"/>
      <c r="J55" s="406"/>
      <c r="K55" s="406"/>
      <c r="L55" s="406"/>
      <c r="M55" s="406"/>
      <c r="N55" s="406"/>
      <c r="O55" s="406"/>
      <c r="P55" s="406"/>
      <c r="Q55" s="406"/>
      <c r="R55" s="406"/>
      <c r="S55" s="406"/>
      <c r="T55" s="406"/>
      <c r="U55" s="406"/>
      <c r="V55" s="406"/>
      <c r="W55" s="406"/>
      <c r="X55" s="406"/>
      <c r="Y55" s="406"/>
      <c r="Z55" s="406"/>
      <c r="AA55" s="406"/>
      <c r="AB55" s="406"/>
      <c r="AC55" s="406"/>
      <c r="AD55" s="406"/>
      <c r="AE55" s="406"/>
      <c r="AF55" s="406"/>
      <c r="AG55" s="406"/>
      <c r="AH55" s="406"/>
      <c r="AI55" s="406"/>
      <c r="AJ55" s="406"/>
      <c r="AK55" s="406"/>
      <c r="AL55" s="406"/>
      <c r="AM55" s="406"/>
      <c r="AN55" s="406"/>
      <c r="AO55" s="406"/>
      <c r="AP55" s="406"/>
      <c r="AQ55" s="406"/>
      <c r="AR55" s="406"/>
      <c r="AS55" s="406"/>
      <c r="AT55" s="406"/>
      <c r="AU55" s="406"/>
      <c r="AV55" s="406"/>
      <c r="AW55" s="406"/>
      <c r="AX55" s="406"/>
      <c r="AY55" s="406"/>
      <c r="AZ55" s="406"/>
      <c r="BA55" s="406"/>
      <c r="BB55" s="406"/>
      <c r="BC55" s="406"/>
      <c r="BD55" s="406"/>
      <c r="BE55" s="406"/>
      <c r="BF55" s="406"/>
      <c r="BG55" s="406"/>
      <c r="BH55" s="406"/>
      <c r="BI55" s="411">
        <v>52</v>
      </c>
      <c r="BJ55" s="543" t="str" cm="1">
        <f t="array" aca="1" ref="BJ55" ca="1" xml:space="preserve"> INDIRECT( ADDRESS( ROW($C$17), COLUMN($C$17) +$BI55) )</f>
        <v>˙</v>
      </c>
      <c r="BK55" s="409" cm="1">
        <f t="array" aca="1" ref="BK55" ca="1" xml:space="preserve"> INDIRECT( ADDRESS( ROW($C$19), COLUMN($C$19) +$BI55) )</f>
        <v>8</v>
      </c>
      <c r="BL55" s="408" cm="1">
        <f t="array" aca="1" ref="BL55" ca="1" xml:space="preserve"> INDIRECT( ADDRESS( ROW($C$18), COLUMN($C$18) +$BI55) )</f>
        <v>0</v>
      </c>
      <c r="BM55" s="407" t="str" cm="1">
        <f t="array" aca="1" ref="BM55" ca="1" xml:space="preserve"> INDIRECT( ADDRESS( ROW($C$16), COLUMN($C$16) +$BI55) )</f>
        <v>7</v>
      </c>
      <c r="BQ55" s="161">
        <v>52</v>
      </c>
      <c r="BR55" s="294" t="s">
        <v>187</v>
      </c>
      <c r="BS55" s="294">
        <v>48</v>
      </c>
      <c r="BT55" s="529" t="s">
        <v>187</v>
      </c>
      <c r="BU55" s="512">
        <v>48</v>
      </c>
      <c r="BV55" s="512" t="s">
        <v>12</v>
      </c>
    </row>
    <row r="56" spans="2:85" ht="38.1" customHeight="1">
      <c r="AH56" s="406"/>
      <c r="AI56" s="406"/>
      <c r="AJ56" s="406"/>
      <c r="AK56" s="406"/>
      <c r="AL56" s="406"/>
      <c r="AM56" s="406"/>
      <c r="AN56" s="406"/>
      <c r="AO56" s="406"/>
      <c r="AP56" s="406"/>
      <c r="AQ56" s="406"/>
      <c r="AR56" s="406"/>
      <c r="AS56" s="406"/>
      <c r="AT56" s="406"/>
      <c r="AU56" s="406"/>
      <c r="AV56" s="406"/>
      <c r="AW56" s="406"/>
      <c r="AX56" s="406"/>
      <c r="AY56" s="406"/>
      <c r="AZ56" s="406"/>
      <c r="BA56" s="406"/>
      <c r="BB56" s="406"/>
      <c r="BC56" s="406"/>
      <c r="BD56" s="406"/>
      <c r="BE56" s="406"/>
      <c r="BF56" s="406"/>
      <c r="BG56" s="406"/>
      <c r="BH56" s="406"/>
      <c r="BQ56" s="161">
        <v>53</v>
      </c>
      <c r="BR56" s="294" t="s">
        <v>188</v>
      </c>
      <c r="BS56" s="294">
        <v>53</v>
      </c>
      <c r="BT56" s="529" t="s">
        <v>189</v>
      </c>
      <c r="BU56" s="512">
        <v>53</v>
      </c>
      <c r="BV56" s="512" t="s">
        <v>18</v>
      </c>
    </row>
    <row r="57" spans="2:85" ht="38.1" customHeight="1">
      <c r="AH57" s="406"/>
      <c r="AI57" s="406"/>
      <c r="AJ57" s="406"/>
      <c r="AK57" s="406"/>
      <c r="AL57" s="406"/>
      <c r="AM57" s="406"/>
      <c r="AN57" s="406"/>
      <c r="AO57" s="406"/>
      <c r="AP57" s="406"/>
      <c r="AQ57" s="406"/>
      <c r="AR57" s="406"/>
      <c r="AS57" s="406"/>
      <c r="AT57" s="406"/>
      <c r="AU57" s="406"/>
      <c r="AV57" s="406"/>
      <c r="AW57" s="406"/>
      <c r="AX57" s="406"/>
      <c r="AY57" s="406"/>
      <c r="AZ57" s="406"/>
      <c r="BA57" s="406"/>
      <c r="BB57" s="406"/>
      <c r="BC57" s="406"/>
      <c r="BD57" s="406"/>
      <c r="BE57" s="406"/>
      <c r="BF57" s="406"/>
      <c r="BG57" s="406"/>
      <c r="BH57" s="406"/>
      <c r="BQ57" s="161">
        <v>54</v>
      </c>
      <c r="BR57" s="294" t="s">
        <v>189</v>
      </c>
      <c r="BS57" s="294">
        <v>54</v>
      </c>
      <c r="BT57" s="529" t="s">
        <v>190</v>
      </c>
      <c r="BU57" s="512">
        <v>54</v>
      </c>
      <c r="BV57" s="512" t="s">
        <v>16</v>
      </c>
    </row>
    <row r="58" spans="2:85" ht="38.1" customHeight="1">
      <c r="AH58" s="406"/>
      <c r="AI58" s="406"/>
      <c r="AJ58" s="406"/>
      <c r="AK58" s="406"/>
      <c r="AL58" s="406"/>
      <c r="AM58" s="406"/>
      <c r="AN58" s="406"/>
      <c r="AO58" s="406"/>
      <c r="AP58" s="406"/>
      <c r="AQ58" s="406"/>
      <c r="AR58" s="406"/>
      <c r="AS58" s="406"/>
      <c r="AT58" s="406"/>
      <c r="AU58" s="406"/>
      <c r="AV58" s="406"/>
      <c r="AW58" s="406"/>
      <c r="AX58" s="406"/>
      <c r="AY58" s="406"/>
      <c r="AZ58" s="406"/>
      <c r="BA58" s="406"/>
      <c r="BB58" s="406"/>
      <c r="BC58" s="406"/>
      <c r="BD58" s="406"/>
      <c r="BE58" s="406"/>
      <c r="BF58" s="406"/>
      <c r="BG58" s="406"/>
      <c r="BH58" s="406"/>
      <c r="BQ58" s="161">
        <v>55</v>
      </c>
      <c r="BR58" s="294" t="s">
        <v>190</v>
      </c>
      <c r="BS58" s="294">
        <v>55</v>
      </c>
      <c r="BT58" s="529" t="s">
        <v>182</v>
      </c>
      <c r="BU58" s="512">
        <v>55</v>
      </c>
      <c r="BV58" s="512" t="s">
        <v>123</v>
      </c>
    </row>
    <row r="59" spans="2:85" ht="38.1" customHeight="1">
      <c r="AH59" s="406"/>
      <c r="AI59" s="406"/>
      <c r="AJ59" s="406"/>
      <c r="AK59" s="406"/>
      <c r="AL59" s="406"/>
      <c r="AM59" s="406"/>
      <c r="AN59" s="406"/>
      <c r="AO59" s="406"/>
      <c r="AP59" s="406"/>
      <c r="AQ59" s="406"/>
      <c r="AR59" s="406"/>
      <c r="AS59" s="406"/>
      <c r="AT59" s="406"/>
      <c r="AU59" s="406"/>
      <c r="AV59" s="406"/>
      <c r="AW59" s="406"/>
      <c r="AX59" s="406"/>
      <c r="AY59" s="406"/>
      <c r="AZ59" s="406"/>
      <c r="BA59" s="406"/>
      <c r="BB59" s="406"/>
      <c r="BC59" s="406"/>
      <c r="BD59" s="406"/>
      <c r="BE59" s="406"/>
      <c r="BF59" s="406"/>
      <c r="BG59" s="406"/>
      <c r="BH59" s="406"/>
    </row>
    <row r="60" spans="2:85" ht="38.1" customHeight="1">
      <c r="BD60" s="406"/>
      <c r="BE60" s="406"/>
      <c r="BF60" s="406"/>
      <c r="BG60" s="406"/>
      <c r="BH60" s="406"/>
    </row>
    <row r="61" spans="2:85">
      <c r="BD61" s="406"/>
      <c r="BE61" s="406"/>
      <c r="BF61" s="406"/>
      <c r="BG61" s="406"/>
      <c r="BH61" s="406"/>
    </row>
    <row r="62" spans="2:85">
      <c r="BD62" s="406"/>
      <c r="BE62" s="406"/>
      <c r="BF62" s="406"/>
      <c r="BG62" s="406"/>
      <c r="BH62" s="406"/>
    </row>
    <row r="63" spans="2:85">
      <c r="BD63" s="406"/>
      <c r="BE63" s="406"/>
      <c r="BF63" s="406"/>
      <c r="BG63" s="406"/>
      <c r="BH63" s="406"/>
    </row>
  </sheetData>
  <mergeCells count="56">
    <mergeCell ref="B2:D2"/>
    <mergeCell ref="E2:G2"/>
    <mergeCell ref="H2:J2"/>
    <mergeCell ref="K2:M2"/>
    <mergeCell ref="N2:P2"/>
    <mergeCell ref="AF2:AH2"/>
    <mergeCell ref="AI2:AK2"/>
    <mergeCell ref="H4:I4"/>
    <mergeCell ref="K4:L4"/>
    <mergeCell ref="N4:O4"/>
    <mergeCell ref="Q4:R4"/>
    <mergeCell ref="T4:U4"/>
    <mergeCell ref="AI4:AJ4"/>
    <mergeCell ref="Q2:S2"/>
    <mergeCell ref="T2:V2"/>
    <mergeCell ref="W2:Y2"/>
    <mergeCell ref="Z2:AB2"/>
    <mergeCell ref="AC2:AE2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G7:AH7"/>
    <mergeCell ref="AJ7:AK7"/>
    <mergeCell ref="AM7:AN7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  <mergeCell ref="AH10:AI10"/>
    <mergeCell ref="W11:Y11"/>
    <mergeCell ref="Z11:AB11"/>
    <mergeCell ref="AC11:AE11"/>
    <mergeCell ref="AF11:AH11"/>
    <mergeCell ref="T11:V11"/>
    <mergeCell ref="E11:G11"/>
    <mergeCell ref="H11:J11"/>
    <mergeCell ref="K11:M11"/>
    <mergeCell ref="N11:P11"/>
    <mergeCell ref="Q11:S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61" customWidth="1"/>
    <col min="2" max="2" width="9.796875" style="161" bestFit="1" customWidth="1"/>
    <col min="3" max="6" width="9.09765625" style="161" customWidth="1"/>
    <col min="7" max="7" width="4.69921875" style="161" customWidth="1"/>
    <col min="8" max="9" width="10.09765625" style="163" customWidth="1"/>
    <col min="10" max="10" width="5.09765625" style="161" customWidth="1"/>
    <col min="11" max="11" width="4.69921875" style="161" customWidth="1"/>
    <col min="12" max="12" width="10.09765625" style="162" customWidth="1"/>
    <col min="13" max="13" width="10.09765625" style="163" customWidth="1"/>
    <col min="14" max="14" width="5.09765625" style="161" hidden="1" customWidth="1" outlineLevel="1"/>
    <col min="15" max="15" width="4.69921875" style="161" hidden="1" customWidth="1" outlineLevel="1"/>
    <col min="16" max="16" width="10.09765625" style="161" hidden="1" customWidth="1" outlineLevel="1"/>
    <col min="17" max="17" width="10.09765625" style="164" hidden="1" customWidth="1" outlineLevel="1"/>
    <col min="18" max="18" width="8.796875" style="161" collapsed="1"/>
    <col min="19" max="19" width="4.69921875" style="161" customWidth="1"/>
    <col min="20" max="24" width="9.796875" style="161" customWidth="1"/>
    <col min="25" max="25" width="9.796875" customWidth="1"/>
    <col min="26" max="26" width="11.796875" style="161" customWidth="1"/>
    <col min="27" max="29" width="10.3984375" style="161" customWidth="1"/>
    <col min="30" max="16384" width="8.796875" style="161"/>
  </cols>
  <sheetData>
    <row r="1" spans="1:27">
      <c r="A1" s="219" t="s">
        <v>524</v>
      </c>
      <c r="G1" s="219" t="s">
        <v>521</v>
      </c>
      <c r="K1" s="219" t="s">
        <v>523</v>
      </c>
      <c r="O1" s="219" t="s">
        <v>522</v>
      </c>
      <c r="S1" s="220" t="s">
        <v>602</v>
      </c>
      <c r="Y1" s="161"/>
    </row>
    <row r="2" spans="1:27" ht="25.5">
      <c r="A2" s="215" t="s">
        <v>680</v>
      </c>
      <c r="H2" s="165" t="s">
        <v>601</v>
      </c>
      <c r="I2" s="166" t="s">
        <v>527</v>
      </c>
      <c r="L2" s="165" t="s">
        <v>527</v>
      </c>
      <c r="M2" s="166" t="s">
        <v>528</v>
      </c>
      <c r="P2" s="165" t="s">
        <v>601</v>
      </c>
      <c r="Q2" s="166" t="s">
        <v>529</v>
      </c>
      <c r="T2" s="169" t="s">
        <v>353</v>
      </c>
      <c r="U2" s="169" t="s">
        <v>603</v>
      </c>
      <c r="V2" s="169" t="s">
        <v>259</v>
      </c>
      <c r="W2" s="169" t="s">
        <v>292</v>
      </c>
      <c r="Y2" s="221" t="s">
        <v>292</v>
      </c>
      <c r="Z2" s="221" t="s">
        <v>290</v>
      </c>
      <c r="AA2" s="222" t="s">
        <v>279</v>
      </c>
    </row>
    <row r="3" spans="1:27">
      <c r="A3" s="161">
        <f xml:space="preserve"> SEARCH("|",$A$2,1)</f>
        <v>5</v>
      </c>
      <c r="G3" s="161" cm="1">
        <f t="array" ref="G3" xml:space="preserve"> ROW() - ROW($2:$2)</f>
        <v>1</v>
      </c>
      <c r="H3" s="172" t="str">
        <f t="shared" ref="H3:H34" si="0" xml:space="preserve"> IFERROR( MID($A$6, $G3, 1), "")</f>
        <v>b</v>
      </c>
      <c r="I3" s="173" t="str">
        <f t="shared" ref="I3:I34" si="1" xml:space="preserve"> IFERROR( MID($A$7, $G3, 1), "")</f>
        <v>1</v>
      </c>
      <c r="K3" s="161">
        <v>1</v>
      </c>
      <c r="L3" s="176" t="str">
        <f t="shared" ref="L3:L34" si="2" xml:space="preserve"> IFERROR( MID($A$15, $G3, 1), "")</f>
        <v>1</v>
      </c>
      <c r="M3" s="176" t="str">
        <f t="shared" ref="M3:M34" si="3" xml:space="preserve"> IFERROR( MID($A$16, $G3, 1), "")</f>
        <v>ㄅ</v>
      </c>
      <c r="O3" s="161">
        <v>1</v>
      </c>
      <c r="P3" s="175" t="str">
        <f t="shared" ref="P3:P44" si="4" xml:space="preserve"> IFERROR( MID($A$21, $G3, 1), "")</f>
        <v/>
      </c>
      <c r="Q3" s="175" t="str">
        <f t="shared" ref="Q3:Q44" si="5" xml:space="preserve"> IFERROR( MID($A$22, $G3, 1), "")</f>
        <v/>
      </c>
      <c r="S3" s="161">
        <v>1</v>
      </c>
      <c r="T3" s="164" t="str">
        <f t="shared" ref="T3:T34" si="6">I3</f>
        <v>1</v>
      </c>
      <c r="U3" s="178" t="str">
        <f t="shared" ref="U3:U34" si="7">H3</f>
        <v>b</v>
      </c>
      <c r="V3" s="178" t="str">
        <f xml:space="preserve"> IFERROR( INDEX($Z$3:$Z$44, MATCH(表格1_33710[[#This Row],[方音符號]], $Y$3:$Y$44, 0)), "")</f>
        <v>b</v>
      </c>
      <c r="W3" s="164" t="str">
        <f xml:space="preserve"> INDEX($M$3:$M$57, MATCH(表格1_33710[[#This Row],[鍵盤位置]], $L$3:$L$57,0))</f>
        <v>ㄅ</v>
      </c>
      <c r="Y3" s="223" t="str">
        <f xml:space="preserve"> INDEX($M$3:$M$44, MATCH(表格1_33710[[#This Row],[鍵盤位置]], $L$3:$L$44,0))</f>
        <v>ㄅ</v>
      </c>
      <c r="Z3" s="224" t="s">
        <v>162</v>
      </c>
      <c r="AA3" s="225" t="s">
        <v>310</v>
      </c>
    </row>
    <row r="4" spans="1:27">
      <c r="A4" s="161">
        <f xml:space="preserve"> SEARCH("|",$A$2,A3+1)</f>
        <v>48</v>
      </c>
      <c r="G4" s="161" cm="1">
        <f t="array" ref="G4" xml:space="preserve"> ROW() - ROW($2:$2)</f>
        <v>2</v>
      </c>
      <c r="H4" s="181" t="str">
        <f t="shared" si="0"/>
        <v>p</v>
      </c>
      <c r="I4" s="182" t="str">
        <f t="shared" si="1"/>
        <v>q</v>
      </c>
      <c r="K4" s="161">
        <v>2</v>
      </c>
      <c r="L4" s="176" t="str">
        <f t="shared" si="2"/>
        <v>q</v>
      </c>
      <c r="M4" s="176" t="str">
        <f t="shared" si="3"/>
        <v>ㄆ</v>
      </c>
      <c r="O4" s="161">
        <v>2</v>
      </c>
      <c r="P4" s="175" t="str">
        <f t="shared" si="4"/>
        <v/>
      </c>
      <c r="Q4" s="175" t="str">
        <f t="shared" si="5"/>
        <v/>
      </c>
      <c r="S4" s="161">
        <v>2</v>
      </c>
      <c r="T4" s="164" t="str">
        <f t="shared" si="6"/>
        <v>q</v>
      </c>
      <c r="U4" s="178" t="str">
        <f t="shared" si="7"/>
        <v>p</v>
      </c>
      <c r="V4" s="178" t="str">
        <f xml:space="preserve"> IFERROR( INDEX($Z$3:$Z$44, MATCH(表格1_33710[[#This Row],[方音符號]], $Y$3:$Y$44, 0)), "")</f>
        <v>p</v>
      </c>
      <c r="W4" s="164" t="str">
        <f xml:space="preserve"> INDEX($M$3:$M$57, MATCH(表格1_33710[[#This Row],[鍵盤位置]], $L$3:$L$57,0))</f>
        <v>ㄆ</v>
      </c>
      <c r="Y4" s="223" t="str">
        <f xml:space="preserve"> INDEX($M$3:$M$44, MATCH(表格1_33710[[#This Row],[鍵盤位置]], $L$3:$L$44,0))</f>
        <v>ㄆ</v>
      </c>
      <c r="Z4" s="224" t="s">
        <v>191</v>
      </c>
      <c r="AA4" s="225" t="s">
        <v>309</v>
      </c>
    </row>
    <row r="5" spans="1:27">
      <c r="A5" s="161">
        <f xml:space="preserve"> SEARCH("|",$A$2,A4+1)</f>
        <v>91</v>
      </c>
      <c r="G5" s="161" cm="1">
        <f t="array" ref="G5" xml:space="preserve"> ROW() - ROW($2:$2)</f>
        <v>3</v>
      </c>
      <c r="H5" s="181" t="str">
        <f t="shared" si="0"/>
        <v>m</v>
      </c>
      <c r="I5" s="182" t="str">
        <f t="shared" si="1"/>
        <v>a</v>
      </c>
      <c r="K5" s="161">
        <v>3</v>
      </c>
      <c r="L5" s="176" t="str">
        <f t="shared" si="2"/>
        <v>a</v>
      </c>
      <c r="M5" s="176" t="str">
        <f t="shared" si="3"/>
        <v>ㄇ</v>
      </c>
      <c r="O5" s="161">
        <v>3</v>
      </c>
      <c r="P5" s="175" t="str">
        <f t="shared" si="4"/>
        <v/>
      </c>
      <c r="Q5" s="175" t="str">
        <f t="shared" si="5"/>
        <v/>
      </c>
      <c r="S5" s="161">
        <v>3</v>
      </c>
      <c r="T5" s="164" t="str">
        <f t="shared" si="6"/>
        <v>a</v>
      </c>
      <c r="U5" s="178" t="str">
        <f t="shared" si="7"/>
        <v>m</v>
      </c>
      <c r="V5" s="178" t="str">
        <f xml:space="preserve"> IFERROR( INDEX($Z$3:$Z$44, MATCH(表格1_33710[[#This Row],[方音符號]], $Y$3:$Y$44, 0)), "")</f>
        <v>m</v>
      </c>
      <c r="W5" s="164" t="str">
        <f xml:space="preserve"> INDEX($M$3:$M$57, MATCH(表格1_33710[[#This Row],[鍵盤位置]], $L$3:$L$57,0))</f>
        <v>ㄇ</v>
      </c>
      <c r="Y5" s="223" t="str">
        <f xml:space="preserve"> INDEX($M$3:$M$44, MATCH(表格1_33710[[#This Row],[鍵盤位置]], $L$3:$L$44,0))</f>
        <v>ㄇ</v>
      </c>
      <c r="Z5" s="224" t="s">
        <v>124</v>
      </c>
      <c r="AA5" s="225" t="s">
        <v>307</v>
      </c>
    </row>
    <row r="6" spans="1:27">
      <c r="A6" s="216" t="str">
        <f xml:space="preserve"> MID($A$2,A3+1, A4-A3-1)</f>
        <v>bpmfdtnlgkhjqxZCSrzcsiuvaoeEAIOUMNKGR12345</v>
      </c>
      <c r="B6" s="217">
        <f xml:space="preserve"> LEN(A6)</f>
        <v>42</v>
      </c>
      <c r="G6" s="161" cm="1">
        <f t="array" ref="G6" xml:space="preserve"> ROW() - ROW($2:$2)</f>
        <v>4</v>
      </c>
      <c r="H6" s="186" t="str">
        <f t="shared" si="0"/>
        <v>f</v>
      </c>
      <c r="I6" s="187" t="str">
        <f t="shared" si="1"/>
        <v>z</v>
      </c>
      <c r="K6" s="161">
        <v>4</v>
      </c>
      <c r="L6" s="176" t="str">
        <f t="shared" si="2"/>
        <v>z</v>
      </c>
      <c r="M6" s="176" t="str">
        <f t="shared" si="3"/>
        <v>ㄈ</v>
      </c>
      <c r="O6" s="161">
        <v>4</v>
      </c>
      <c r="P6" s="175" t="str">
        <f t="shared" si="4"/>
        <v/>
      </c>
      <c r="Q6" s="175" t="str">
        <f t="shared" si="5"/>
        <v/>
      </c>
      <c r="S6" s="161">
        <v>4</v>
      </c>
      <c r="T6" s="164" t="str">
        <f t="shared" si="6"/>
        <v>z</v>
      </c>
      <c r="U6" s="178" t="str">
        <f t="shared" si="7"/>
        <v>f</v>
      </c>
      <c r="V6" s="178" t="str">
        <f xml:space="preserve"> IFERROR( INDEX($Z$3:$Z$44, MATCH(表格1_33710[[#This Row],[方音符號]], $Y$3:$Y$44, 0)), "")</f>
        <v>f</v>
      </c>
      <c r="W6" s="164" t="str">
        <f xml:space="preserve"> INDEX($M$3:$M$57, MATCH(表格1_33710[[#This Row],[鍵盤位置]], $L$3:$L$57,0))</f>
        <v>ㄈ</v>
      </c>
      <c r="Y6" s="223" t="str">
        <f xml:space="preserve"> INDEX($M$3:$M$44, MATCH(表格1_33710[[#This Row],[鍵盤位置]], $L$3:$L$44,0))</f>
        <v>ㄈ</v>
      </c>
      <c r="Z6" s="224" t="s">
        <v>670</v>
      </c>
      <c r="AA6" s="225" t="s">
        <v>743</v>
      </c>
    </row>
    <row r="7" spans="1:27">
      <c r="A7" s="216" t="str">
        <f xml:space="preserve"> MID($A$2,A4+1, A5-A4-1)</f>
        <v>1qaz2wsxedcrfv5tgbyhnujm8ik,9ol.0p;/- 6347</v>
      </c>
      <c r="B7" s="217">
        <f xml:space="preserve"> LEN(A7)</f>
        <v>42</v>
      </c>
      <c r="G7" s="161" cm="1">
        <f t="array" ref="G7" xml:space="preserve"> ROW() - ROW($2:$2)</f>
        <v>5</v>
      </c>
      <c r="H7" s="181" t="str">
        <f t="shared" si="0"/>
        <v>d</v>
      </c>
      <c r="I7" s="182" t="str">
        <f t="shared" si="1"/>
        <v>2</v>
      </c>
      <c r="K7" s="161">
        <v>5</v>
      </c>
      <c r="L7" s="176" t="str">
        <f t="shared" si="2"/>
        <v>2</v>
      </c>
      <c r="M7" s="176" t="str">
        <f t="shared" si="3"/>
        <v>ㄉ</v>
      </c>
      <c r="O7" s="161">
        <v>5</v>
      </c>
      <c r="P7" s="175" t="str">
        <f t="shared" si="4"/>
        <v/>
      </c>
      <c r="Q7" s="175" t="str">
        <f t="shared" si="5"/>
        <v/>
      </c>
      <c r="S7" s="161">
        <v>5</v>
      </c>
      <c r="T7" s="164" t="str">
        <f t="shared" si="6"/>
        <v>2</v>
      </c>
      <c r="U7" s="178" t="str">
        <f t="shared" si="7"/>
        <v>d</v>
      </c>
      <c r="V7" s="178" t="str">
        <f xml:space="preserve"> IFERROR( INDEX($Z$3:$Z$44, MATCH(表格1_33710[[#This Row],[方音符號]], $Y$3:$Y$44, 0)), "")</f>
        <v>d</v>
      </c>
      <c r="W7" s="164" t="str">
        <f xml:space="preserve"> INDEX($M$3:$M$57, MATCH(表格1_33710[[#This Row],[鍵盤位置]], $L$3:$L$57,0))</f>
        <v>ㄉ</v>
      </c>
      <c r="Y7" s="223" t="str">
        <f xml:space="preserve"> INDEX($M$3:$M$44, MATCH(表格1_33710[[#This Row],[鍵盤位置]], $L$3:$L$44,0))</f>
        <v>ㄉ</v>
      </c>
      <c r="Z7" s="224" t="s">
        <v>201</v>
      </c>
      <c r="AA7" s="225" t="s">
        <v>306</v>
      </c>
    </row>
    <row r="8" spans="1:27">
      <c r="G8" s="161" cm="1">
        <f t="array" ref="G8" xml:space="preserve"> ROW() - ROW($2:$2)</f>
        <v>6</v>
      </c>
      <c r="H8" s="181" t="str">
        <f t="shared" si="0"/>
        <v>t</v>
      </c>
      <c r="I8" s="182" t="str">
        <f t="shared" si="1"/>
        <v>w</v>
      </c>
      <c r="K8" s="161">
        <v>6</v>
      </c>
      <c r="L8" s="176" t="str">
        <f t="shared" si="2"/>
        <v>w</v>
      </c>
      <c r="M8" s="176" t="str">
        <f t="shared" si="3"/>
        <v>ㄊ</v>
      </c>
      <c r="O8" s="161">
        <v>6</v>
      </c>
      <c r="P8" s="175" t="str">
        <f t="shared" si="4"/>
        <v/>
      </c>
      <c r="Q8" s="175" t="str">
        <f t="shared" si="5"/>
        <v/>
      </c>
      <c r="S8" s="161">
        <v>6</v>
      </c>
      <c r="T8" s="164" t="str">
        <f t="shared" si="6"/>
        <v>w</v>
      </c>
      <c r="U8" s="178" t="str">
        <f t="shared" si="7"/>
        <v>t</v>
      </c>
      <c r="V8" s="178" t="str">
        <f xml:space="preserve"> IFERROR( INDEX($Z$3:$Z$44, MATCH(表格1_33710[[#This Row],[方音符號]], $Y$3:$Y$44, 0)), "")</f>
        <v>t</v>
      </c>
      <c r="W8" s="164" t="str">
        <f xml:space="preserve"> INDEX($M$3:$M$57, MATCH(表格1_33710[[#This Row],[鍵盤位置]], $L$3:$L$57,0))</f>
        <v>ㄊ</v>
      </c>
      <c r="Y8" s="223" t="str">
        <f xml:space="preserve"> INDEX($M$3:$M$44, MATCH(表格1_33710[[#This Row],[鍵盤位置]], $L$3:$L$44,0))</f>
        <v>ㄊ</v>
      </c>
      <c r="Z8" s="224" t="s">
        <v>192</v>
      </c>
      <c r="AA8" s="225" t="s">
        <v>305</v>
      </c>
    </row>
    <row r="9" spans="1:27">
      <c r="G9" s="161" cm="1">
        <f t="array" ref="G9" xml:space="preserve"> ROW() - ROW($2:$2)</f>
        <v>7</v>
      </c>
      <c r="H9" s="181" t="str">
        <f t="shared" si="0"/>
        <v>n</v>
      </c>
      <c r="I9" s="182" t="str">
        <f t="shared" si="1"/>
        <v>s</v>
      </c>
      <c r="K9" s="161">
        <v>7</v>
      </c>
      <c r="L9" s="176" t="str">
        <f t="shared" si="2"/>
        <v>s</v>
      </c>
      <c r="M9" s="176" t="str">
        <f t="shared" si="3"/>
        <v>ㄋ</v>
      </c>
      <c r="O9" s="161">
        <v>7</v>
      </c>
      <c r="P9" s="175" t="str">
        <f t="shared" si="4"/>
        <v/>
      </c>
      <c r="Q9" s="175" t="str">
        <f t="shared" si="5"/>
        <v/>
      </c>
      <c r="S9" s="161">
        <v>7</v>
      </c>
      <c r="T9" s="164" t="str">
        <f t="shared" si="6"/>
        <v>s</v>
      </c>
      <c r="U9" s="178" t="str">
        <f t="shared" si="7"/>
        <v>n</v>
      </c>
      <c r="V9" s="178" t="str">
        <f xml:space="preserve"> IFERROR( INDEX($Z$3:$Z$44, MATCH(表格1_33710[[#This Row],[方音符號]], $Y$3:$Y$44, 0)), "")</f>
        <v>n</v>
      </c>
      <c r="W9" s="164" t="str">
        <f xml:space="preserve"> INDEX($M$3:$M$57, MATCH(表格1_33710[[#This Row],[鍵盤位置]], $L$3:$L$57,0))</f>
        <v>ㄋ</v>
      </c>
      <c r="Y9" s="223" t="str">
        <f xml:space="preserve"> INDEX($M$3:$M$44, MATCH(表格1_33710[[#This Row],[鍵盤位置]], $L$3:$L$44,0))</f>
        <v>ㄋ</v>
      </c>
      <c r="Z9" s="224" t="s">
        <v>193</v>
      </c>
      <c r="AA9" s="225" t="s">
        <v>304</v>
      </c>
    </row>
    <row r="10" spans="1:27">
      <c r="A10" s="219" t="s">
        <v>523</v>
      </c>
      <c r="G10" s="161" cm="1">
        <f t="array" ref="G10" xml:space="preserve"> ROW() - ROW($2:$2)</f>
        <v>8</v>
      </c>
      <c r="H10" s="191" t="str">
        <f t="shared" si="0"/>
        <v>l</v>
      </c>
      <c r="I10" s="192" t="str">
        <f t="shared" si="1"/>
        <v>x</v>
      </c>
      <c r="K10" s="161">
        <v>8</v>
      </c>
      <c r="L10" s="176" t="str">
        <f t="shared" si="2"/>
        <v>x</v>
      </c>
      <c r="M10" s="176" t="str">
        <f t="shared" si="3"/>
        <v>ㄌ</v>
      </c>
      <c r="O10" s="161">
        <v>8</v>
      </c>
      <c r="P10" s="175" t="str">
        <f t="shared" si="4"/>
        <v/>
      </c>
      <c r="Q10" s="175" t="str">
        <f t="shared" si="5"/>
        <v/>
      </c>
      <c r="S10" s="161">
        <v>8</v>
      </c>
      <c r="T10" s="164" t="str">
        <f t="shared" si="6"/>
        <v>x</v>
      </c>
      <c r="U10" s="178" t="str">
        <f t="shared" si="7"/>
        <v>l</v>
      </c>
      <c r="V10" s="178" t="str">
        <f xml:space="preserve"> IFERROR( INDEX($Z$3:$Z$44, MATCH(表格1_33710[[#This Row],[方音符號]], $Y$3:$Y$44, 0)), "")</f>
        <v>l</v>
      </c>
      <c r="W10" s="164" t="str">
        <f xml:space="preserve"> INDEX($M$3:$M$57, MATCH(表格1_33710[[#This Row],[鍵盤位置]], $L$3:$L$57,0))</f>
        <v>ㄌ</v>
      </c>
      <c r="Y10" s="223" t="str">
        <f xml:space="preserve"> INDEX($M$3:$M$44, MATCH(表格1_33710[[#This Row],[鍵盤位置]], $L$3:$L$44,0))</f>
        <v>ㄌ</v>
      </c>
      <c r="Z10" s="224" t="s">
        <v>194</v>
      </c>
      <c r="AA10" s="225" t="s">
        <v>303</v>
      </c>
    </row>
    <row r="11" spans="1:27">
      <c r="A11" s="218" t="s">
        <v>706</v>
      </c>
      <c r="G11" s="161" cm="1">
        <f t="array" ref="G11" xml:space="preserve"> ROW() - ROW($2:$2)</f>
        <v>9</v>
      </c>
      <c r="H11" s="172" t="str">
        <f t="shared" si="0"/>
        <v>g</v>
      </c>
      <c r="I11" s="173" t="str">
        <f t="shared" si="1"/>
        <v>e</v>
      </c>
      <c r="K11" s="161">
        <v>9</v>
      </c>
      <c r="L11" s="176" t="str">
        <f t="shared" si="2"/>
        <v>e</v>
      </c>
      <c r="M11" s="176" t="str">
        <f t="shared" si="3"/>
        <v>ㄍ</v>
      </c>
      <c r="O11" s="161">
        <v>9</v>
      </c>
      <c r="P11" s="175" t="str">
        <f t="shared" si="4"/>
        <v/>
      </c>
      <c r="Q11" s="175" t="str">
        <f t="shared" si="5"/>
        <v/>
      </c>
      <c r="S11" s="161">
        <v>9</v>
      </c>
      <c r="T11" s="164" t="str">
        <f t="shared" si="6"/>
        <v>e</v>
      </c>
      <c r="U11" s="178" t="str">
        <f t="shared" si="7"/>
        <v>g</v>
      </c>
      <c r="V11" s="178" t="str">
        <f xml:space="preserve"> IFERROR( INDEX($Z$3:$Z$44, MATCH(表格1_33710[[#This Row],[方音符號]], $Y$3:$Y$44, 0)), "")</f>
        <v>g</v>
      </c>
      <c r="W11" s="164" t="str">
        <f xml:space="preserve"> INDEX($M$3:$M$57, MATCH(表格1_33710[[#This Row],[鍵盤位置]], $L$3:$L$57,0))</f>
        <v>ㄍ</v>
      </c>
      <c r="Y11" s="223" t="str">
        <f xml:space="preserve"> INDEX($M$3:$M$44, MATCH(表格1_33710[[#This Row],[鍵盤位置]], $L$3:$L$44,0))</f>
        <v>ㄍ</v>
      </c>
      <c r="Z11" s="224" t="s">
        <v>126</v>
      </c>
      <c r="AA11" s="225" t="s">
        <v>302</v>
      </c>
    </row>
    <row r="12" spans="1:27">
      <c r="A12" s="161">
        <f xml:space="preserve"> SEARCH("|",$A$11,1)</f>
        <v>8</v>
      </c>
      <c r="G12" s="161" cm="1">
        <f t="array" ref="G12" xml:space="preserve"> ROW() - ROW($2:$2)</f>
        <v>10</v>
      </c>
      <c r="H12" s="181" t="str">
        <f t="shared" si="0"/>
        <v>k</v>
      </c>
      <c r="I12" s="182" t="str">
        <f t="shared" si="1"/>
        <v>d</v>
      </c>
      <c r="K12" s="161">
        <v>10</v>
      </c>
      <c r="L12" s="176" t="str">
        <f t="shared" si="2"/>
        <v>d</v>
      </c>
      <c r="M12" s="176" t="str">
        <f t="shared" si="3"/>
        <v>ㄎ</v>
      </c>
      <c r="O12" s="161">
        <v>10</v>
      </c>
      <c r="P12" s="175" t="str">
        <f t="shared" si="4"/>
        <v/>
      </c>
      <c r="Q12" s="175" t="str">
        <f t="shared" si="5"/>
        <v/>
      </c>
      <c r="S12" s="161">
        <v>10</v>
      </c>
      <c r="T12" s="164" t="str">
        <f t="shared" si="6"/>
        <v>d</v>
      </c>
      <c r="U12" s="178" t="str">
        <f t="shared" si="7"/>
        <v>k</v>
      </c>
      <c r="V12" s="178" t="str">
        <f xml:space="preserve"> IFERROR( INDEX($Z$3:$Z$44, MATCH(表格1_33710[[#This Row],[方音符號]], $Y$3:$Y$44, 0)), "")</f>
        <v>k</v>
      </c>
      <c r="W12" s="164" t="str">
        <f xml:space="preserve"> INDEX($M$3:$M$57, MATCH(表格1_33710[[#This Row],[鍵盤位置]], $L$3:$L$57,0))</f>
        <v>ㄎ</v>
      </c>
      <c r="Y12" s="223" t="str">
        <f xml:space="preserve"> INDEX($M$3:$M$44, MATCH(表格1_33710[[#This Row],[鍵盤位置]], $L$3:$L$44,0))</f>
        <v>ㄎ</v>
      </c>
      <c r="Z12" s="224" t="s">
        <v>195</v>
      </c>
      <c r="AA12" s="225" t="s">
        <v>301</v>
      </c>
    </row>
    <row r="13" spans="1:27">
      <c r="A13" s="161">
        <f xml:space="preserve"> SEARCH("|",$A$11,A12+1)</f>
        <v>52</v>
      </c>
      <c r="G13" s="161" cm="1">
        <f t="array" ref="G13" xml:space="preserve"> ROW() - ROW($2:$2)</f>
        <v>11</v>
      </c>
      <c r="H13" s="191" t="str">
        <f t="shared" si="0"/>
        <v>h</v>
      </c>
      <c r="I13" s="192" t="str">
        <f t="shared" si="1"/>
        <v>c</v>
      </c>
      <c r="K13" s="161">
        <v>11</v>
      </c>
      <c r="L13" s="176" t="str">
        <f t="shared" si="2"/>
        <v>c</v>
      </c>
      <c r="M13" s="176" t="str">
        <f t="shared" si="3"/>
        <v>ㄏ</v>
      </c>
      <c r="O13" s="161">
        <v>11</v>
      </c>
      <c r="P13" s="175" t="str">
        <f t="shared" si="4"/>
        <v/>
      </c>
      <c r="Q13" s="175" t="str">
        <f t="shared" si="5"/>
        <v/>
      </c>
      <c r="S13" s="161">
        <v>11</v>
      </c>
      <c r="T13" s="164" t="str">
        <f t="shared" si="6"/>
        <v>c</v>
      </c>
      <c r="U13" s="178" t="str">
        <f t="shared" si="7"/>
        <v>h</v>
      </c>
      <c r="V13" s="178" t="str">
        <f xml:space="preserve"> IFERROR( INDEX($Z$3:$Z$44, MATCH(表格1_33710[[#This Row],[方音符號]], $Y$3:$Y$44, 0)), "")</f>
        <v>h</v>
      </c>
      <c r="W13" s="164" t="str">
        <f xml:space="preserve"> INDEX($M$3:$M$57, MATCH(表格1_33710[[#This Row],[鍵盤位置]], $L$3:$L$57,0))</f>
        <v>ㄏ</v>
      </c>
      <c r="Y13" s="223" t="str">
        <f xml:space="preserve"> INDEX($M$3:$M$44, MATCH(表格1_33710[[#This Row],[鍵盤位置]], $L$3:$L$44,0))</f>
        <v>ㄏ</v>
      </c>
      <c r="Z13" s="224" t="s">
        <v>129</v>
      </c>
      <c r="AA13" s="225" t="s">
        <v>298</v>
      </c>
    </row>
    <row r="14" spans="1:27">
      <c r="A14" s="161">
        <f xml:space="preserve"> SEARCH("|",$A$11,A13+1)</f>
        <v>96</v>
      </c>
      <c r="G14" s="161" cm="1">
        <f t="array" ref="G14" xml:space="preserve"> ROW() - ROW($2:$2)</f>
        <v>12</v>
      </c>
      <c r="H14" s="172" t="str">
        <f t="shared" si="0"/>
        <v>j</v>
      </c>
      <c r="I14" s="173" t="str">
        <f t="shared" si="1"/>
        <v>r</v>
      </c>
      <c r="K14" s="161">
        <v>12</v>
      </c>
      <c r="L14" s="176" t="str">
        <f t="shared" si="2"/>
        <v>r</v>
      </c>
      <c r="M14" s="176" t="str">
        <f t="shared" si="3"/>
        <v>ㄐ</v>
      </c>
      <c r="O14" s="161">
        <v>12</v>
      </c>
      <c r="P14" s="175" t="str">
        <f t="shared" si="4"/>
        <v/>
      </c>
      <c r="Q14" s="175" t="str">
        <f t="shared" si="5"/>
        <v/>
      </c>
      <c r="S14" s="161">
        <v>12</v>
      </c>
      <c r="T14" s="164" t="str">
        <f t="shared" si="6"/>
        <v>r</v>
      </c>
      <c r="U14" s="178" t="str">
        <f t="shared" si="7"/>
        <v>j</v>
      </c>
      <c r="V14" s="178" t="str">
        <f xml:space="preserve"> IFERROR( INDEX($Z$3:$Z$44, MATCH(表格1_33710[[#This Row],[方音符號]], $Y$3:$Y$44, 0)), "")</f>
        <v>j</v>
      </c>
      <c r="W14" s="164" t="str">
        <f xml:space="preserve"> INDEX($M$3:$M$57, MATCH(表格1_33710[[#This Row],[鍵盤位置]], $L$3:$L$57,0))</f>
        <v>ㄐ</v>
      </c>
      <c r="Y14" s="223" t="str">
        <f xml:space="preserve"> INDEX($M$3:$M$44, MATCH(表格1_33710[[#This Row],[鍵盤位置]], $L$3:$L$44,0))</f>
        <v>ㄐ</v>
      </c>
      <c r="Z14" s="224" t="s">
        <v>569</v>
      </c>
      <c r="AA14" s="225" t="s">
        <v>750</v>
      </c>
    </row>
    <row r="15" spans="1:27">
      <c r="A15" s="216" t="str">
        <f xml:space="preserve"> MID($A$11,A12+1, A13-A12-1)</f>
        <v>1qaz2wsxedcrfv5tgbyhnujm8ik,9ol.0p;/- 6347'</v>
      </c>
      <c r="B15" s="217">
        <f xml:space="preserve"> LEN(A15)</f>
        <v>43</v>
      </c>
      <c r="G15" s="161" cm="1">
        <f t="array" ref="G15" xml:space="preserve"> ROW() - ROW($2:$2)</f>
        <v>13</v>
      </c>
      <c r="H15" s="181" t="str">
        <f t="shared" si="0"/>
        <v>q</v>
      </c>
      <c r="I15" s="182" t="str">
        <f t="shared" si="1"/>
        <v>f</v>
      </c>
      <c r="K15" s="161">
        <v>13</v>
      </c>
      <c r="L15" s="176" t="str">
        <f t="shared" si="2"/>
        <v>f</v>
      </c>
      <c r="M15" s="176" t="str">
        <f t="shared" si="3"/>
        <v>ㄑ</v>
      </c>
      <c r="O15" s="161">
        <v>13</v>
      </c>
      <c r="P15" s="175" t="str">
        <f t="shared" si="4"/>
        <v/>
      </c>
      <c r="Q15" s="175" t="str">
        <f t="shared" si="5"/>
        <v/>
      </c>
      <c r="S15" s="161">
        <v>13</v>
      </c>
      <c r="T15" s="164" t="str">
        <f t="shared" si="6"/>
        <v>f</v>
      </c>
      <c r="U15" s="178" t="str">
        <f t="shared" si="7"/>
        <v>q</v>
      </c>
      <c r="V15" s="178" t="str">
        <f xml:space="preserve"> IFERROR( INDEX($Z$3:$Z$44, MATCH(表格1_33710[[#This Row],[方音符號]], $Y$3:$Y$44, 0)), "")</f>
        <v>q</v>
      </c>
      <c r="W15" s="164" t="str">
        <f xml:space="preserve"> INDEX($M$3:$M$57, MATCH(表格1_33710[[#This Row],[鍵盤位置]], $L$3:$L$57,0))</f>
        <v>ㄑ</v>
      </c>
      <c r="Y15" s="223" t="str">
        <f xml:space="preserve"> INDEX($M$3:$M$44, MATCH(表格1_33710[[#This Row],[鍵盤位置]], $L$3:$L$44,0))</f>
        <v>ㄑ</v>
      </c>
      <c r="Z15" s="224" t="s">
        <v>532</v>
      </c>
      <c r="AA15" s="225" t="s">
        <v>751</v>
      </c>
    </row>
    <row r="16" spans="1:27">
      <c r="A16" s="216" t="str">
        <f xml:space="preserve"> MID($A$11,A13+1, A14-A13-1)</f>
        <v xml:space="preserve">ㄅㄆㄇㄈㄉㄊㄋㄌㄍㄎㄏㄐㄑㄒㄓㄔㄕㄖㄗㄘㄙㄧㄨㄩㄚㄛㄜㄝㄞㄟㄠㄡㄢㄣㄤㄥㄦˉˊˇˋ˙ </v>
      </c>
      <c r="B16" s="217">
        <f xml:space="preserve"> LEN(A16)</f>
        <v>43</v>
      </c>
      <c r="G16" s="161" cm="1">
        <f t="array" ref="G16" xml:space="preserve"> ROW() - ROW($2:$2)</f>
        <v>14</v>
      </c>
      <c r="H16" s="186" t="str">
        <f t="shared" si="0"/>
        <v>x</v>
      </c>
      <c r="I16" s="187" t="str">
        <f t="shared" si="1"/>
        <v>v</v>
      </c>
      <c r="K16" s="161">
        <v>14</v>
      </c>
      <c r="L16" s="176" t="str">
        <f t="shared" si="2"/>
        <v>v</v>
      </c>
      <c r="M16" s="176" t="str">
        <f t="shared" si="3"/>
        <v>ㄒ</v>
      </c>
      <c r="O16" s="161">
        <v>14</v>
      </c>
      <c r="P16" s="175" t="str">
        <f t="shared" si="4"/>
        <v/>
      </c>
      <c r="Q16" s="175" t="str">
        <f t="shared" si="5"/>
        <v/>
      </c>
      <c r="S16" s="161">
        <v>14</v>
      </c>
      <c r="T16" s="164" t="str">
        <f t="shared" si="6"/>
        <v>v</v>
      </c>
      <c r="U16" s="178" t="str">
        <f t="shared" si="7"/>
        <v>x</v>
      </c>
      <c r="V16" s="178" t="str">
        <f xml:space="preserve"> IFERROR( INDEX($Z$3:$Z$44, MATCH(表格1_33710[[#This Row],[方音符號]], $Y$3:$Y$44, 0)), "")</f>
        <v>x</v>
      </c>
      <c r="W16" s="164" t="str">
        <f xml:space="preserve"> INDEX($M$3:$M$57, MATCH(表格1_33710[[#This Row],[鍵盤位置]], $L$3:$L$57,0))</f>
        <v>ㄒ</v>
      </c>
      <c r="Y16" s="223" t="str">
        <f xml:space="preserve"> INDEX($M$3:$M$44, MATCH(表格1_33710[[#This Row],[鍵盤位置]], $L$3:$L$44,0))</f>
        <v>ㄒ</v>
      </c>
      <c r="Z16" s="224" t="s">
        <v>250</v>
      </c>
      <c r="AA16" s="225" t="s">
        <v>752</v>
      </c>
    </row>
    <row r="17" spans="1:27">
      <c r="G17" s="161" cm="1">
        <f t="array" ref="G17" xml:space="preserve"> ROW() - ROW($2:$2)</f>
        <v>15</v>
      </c>
      <c r="H17" s="172" t="str">
        <f t="shared" si="0"/>
        <v>Z</v>
      </c>
      <c r="I17" s="173" t="str">
        <f t="shared" si="1"/>
        <v>5</v>
      </c>
      <c r="K17" s="161">
        <v>15</v>
      </c>
      <c r="L17" s="176" t="str">
        <f t="shared" si="2"/>
        <v>5</v>
      </c>
      <c r="M17" s="176" t="str">
        <f t="shared" si="3"/>
        <v>ㄓ</v>
      </c>
      <c r="O17" s="161">
        <v>15</v>
      </c>
      <c r="P17" s="175" t="str">
        <f t="shared" si="4"/>
        <v/>
      </c>
      <c r="Q17" s="175" t="str">
        <f t="shared" si="5"/>
        <v/>
      </c>
      <c r="S17" s="161">
        <v>15</v>
      </c>
      <c r="T17" s="164" t="str">
        <f t="shared" si="6"/>
        <v>5</v>
      </c>
      <c r="U17" s="178" t="str">
        <f t="shared" si="7"/>
        <v>Z</v>
      </c>
      <c r="V17" s="178" t="str">
        <f xml:space="preserve"> IFERROR( INDEX($Z$3:$Z$44, MATCH(表格1_33710[[#This Row],[方音符號]], $Y$3:$Y$44, 0)), "")</f>
        <v>zh</v>
      </c>
      <c r="W17" s="164" t="str">
        <f xml:space="preserve"> INDEX($M$3:$M$57, MATCH(表格1_33710[[#This Row],[鍵盤位置]], $L$3:$L$57,0))</f>
        <v>ㄓ</v>
      </c>
      <c r="Y17" s="223" t="str">
        <f xml:space="preserve"> INDEX($M$3:$M$44, MATCH(表格1_33710[[#This Row],[鍵盤位置]], $L$3:$L$44,0))</f>
        <v>ㄓ</v>
      </c>
      <c r="Z17" s="224" t="s">
        <v>714</v>
      </c>
      <c r="AA17" s="225" t="s">
        <v>744</v>
      </c>
    </row>
    <row r="18" spans="1:27">
      <c r="G18" s="161" cm="1">
        <f t="array" ref="G18" xml:space="preserve"> ROW() - ROW($2:$2)</f>
        <v>16</v>
      </c>
      <c r="H18" s="181" t="str">
        <f t="shared" si="0"/>
        <v>C</v>
      </c>
      <c r="I18" s="182" t="str">
        <f t="shared" si="1"/>
        <v>t</v>
      </c>
      <c r="K18" s="161">
        <v>16</v>
      </c>
      <c r="L18" s="176" t="str">
        <f t="shared" si="2"/>
        <v>t</v>
      </c>
      <c r="M18" s="176" t="str">
        <f t="shared" si="3"/>
        <v>ㄔ</v>
      </c>
      <c r="O18" s="161">
        <v>16</v>
      </c>
      <c r="P18" s="175" t="str">
        <f t="shared" si="4"/>
        <v/>
      </c>
      <c r="Q18" s="175" t="str">
        <f t="shared" si="5"/>
        <v/>
      </c>
      <c r="S18" s="161">
        <v>16</v>
      </c>
      <c r="T18" s="164" t="str">
        <f t="shared" si="6"/>
        <v>t</v>
      </c>
      <c r="U18" s="178" t="str">
        <f t="shared" si="7"/>
        <v>C</v>
      </c>
      <c r="V18" s="178" t="str">
        <f xml:space="preserve"> IFERROR( INDEX($Z$3:$Z$44, MATCH(表格1_33710[[#This Row],[方音符號]], $Y$3:$Y$44, 0)), "")</f>
        <v>ch</v>
      </c>
      <c r="W18" s="164" t="str">
        <f xml:space="preserve"> INDEX($M$3:$M$57, MATCH(表格1_33710[[#This Row],[鍵盤位置]], $L$3:$L$57,0))</f>
        <v>ㄔ</v>
      </c>
      <c r="Y18" s="223" t="str">
        <f xml:space="preserve"> INDEX($M$3:$M$44, MATCH(表格1_33710[[#This Row],[鍵盤位置]], $L$3:$L$44,0))</f>
        <v>ㄔ</v>
      </c>
      <c r="Z18" s="224" t="s">
        <v>227</v>
      </c>
      <c r="AA18" s="225" t="s">
        <v>745</v>
      </c>
    </row>
    <row r="19" spans="1:27">
      <c r="G19" s="161" cm="1">
        <f t="array" ref="G19" xml:space="preserve"> ROW() - ROW($2:$2)</f>
        <v>17</v>
      </c>
      <c r="H19" s="186" t="str">
        <f t="shared" si="0"/>
        <v>S</v>
      </c>
      <c r="I19" s="187" t="str">
        <f t="shared" si="1"/>
        <v>g</v>
      </c>
      <c r="K19" s="161">
        <v>17</v>
      </c>
      <c r="L19" s="176" t="str">
        <f t="shared" si="2"/>
        <v>g</v>
      </c>
      <c r="M19" s="176" t="str">
        <f t="shared" si="3"/>
        <v>ㄕ</v>
      </c>
      <c r="O19" s="161">
        <v>17</v>
      </c>
      <c r="P19" s="175" t="str">
        <f t="shared" si="4"/>
        <v/>
      </c>
      <c r="Q19" s="175" t="str">
        <f t="shared" si="5"/>
        <v/>
      </c>
      <c r="S19" s="161">
        <v>17</v>
      </c>
      <c r="T19" s="164" t="str">
        <f t="shared" si="6"/>
        <v>g</v>
      </c>
      <c r="U19" s="178" t="str">
        <f t="shared" si="7"/>
        <v>S</v>
      </c>
      <c r="V19" s="178" t="str">
        <f xml:space="preserve"> IFERROR( INDEX($Z$3:$Z$44, MATCH(表格1_33710[[#This Row],[方音符號]], $Y$3:$Y$44, 0)), "")</f>
        <v>sh</v>
      </c>
      <c r="W19" s="164" t="str">
        <f xml:space="preserve"> INDEX($M$3:$M$57, MATCH(表格1_33710[[#This Row],[鍵盤位置]], $L$3:$L$57,0))</f>
        <v>ㄕ</v>
      </c>
      <c r="Y19" s="223" t="str">
        <f xml:space="preserve"> INDEX($M$3:$M$44, MATCH(表格1_33710[[#This Row],[鍵盤位置]], $L$3:$L$44,0))</f>
        <v>ㄕ</v>
      </c>
      <c r="Z19" s="224" t="s">
        <v>716</v>
      </c>
      <c r="AA19" s="225" t="s">
        <v>746</v>
      </c>
    </row>
    <row r="20" spans="1:27">
      <c r="A20" s="219" t="s">
        <v>535</v>
      </c>
      <c r="G20" s="161" cm="1">
        <f t="array" ref="G20" xml:space="preserve"> ROW() - ROW($2:$2)</f>
        <v>18</v>
      </c>
      <c r="H20" s="197" t="str">
        <f t="shared" si="0"/>
        <v>r</v>
      </c>
      <c r="I20" s="198" t="str">
        <f t="shared" si="1"/>
        <v>b</v>
      </c>
      <c r="K20" s="161">
        <v>18</v>
      </c>
      <c r="L20" s="176" t="str">
        <f t="shared" si="2"/>
        <v>b</v>
      </c>
      <c r="M20" s="176" t="str">
        <f t="shared" si="3"/>
        <v>ㄖ</v>
      </c>
      <c r="O20" s="161">
        <v>18</v>
      </c>
      <c r="P20" s="175" t="str">
        <f t="shared" si="4"/>
        <v/>
      </c>
      <c r="Q20" s="175" t="str">
        <f t="shared" si="5"/>
        <v/>
      </c>
      <c r="S20" s="161">
        <v>18</v>
      </c>
      <c r="T20" s="164" t="str">
        <f t="shared" si="6"/>
        <v>b</v>
      </c>
      <c r="U20" s="178" t="str">
        <f t="shared" si="7"/>
        <v>r</v>
      </c>
      <c r="V20" s="178" t="str">
        <f xml:space="preserve"> IFERROR( INDEX($Z$3:$Z$44, MATCH(表格1_33710[[#This Row],[方音符號]], $Y$3:$Y$44, 0)), "")</f>
        <v>r</v>
      </c>
      <c r="W20" s="164" t="str">
        <f xml:space="preserve"> INDEX($M$3:$M$57, MATCH(表格1_33710[[#This Row],[鍵盤位置]], $L$3:$L$57,0))</f>
        <v>ㄖ</v>
      </c>
      <c r="Y20" s="223" t="str">
        <f xml:space="preserve"> INDEX($M$3:$M$44, MATCH(表格1_33710[[#This Row],[鍵盤位置]], $L$3:$L$44,0))</f>
        <v>ㄖ</v>
      </c>
      <c r="Z20" s="224" t="s">
        <v>668</v>
      </c>
      <c r="AA20" s="225" t="s">
        <v>747</v>
      </c>
    </row>
    <row r="21" spans="1:27">
      <c r="A21" s="233"/>
      <c r="G21" s="161" cm="1">
        <f t="array" ref="G21" xml:space="preserve"> ROW() - ROW($2:$2)</f>
        <v>19</v>
      </c>
      <c r="H21" s="202" t="str">
        <f t="shared" si="0"/>
        <v>z</v>
      </c>
      <c r="I21" s="203" t="str">
        <f t="shared" si="1"/>
        <v>y</v>
      </c>
      <c r="K21" s="161">
        <v>19</v>
      </c>
      <c r="L21" s="176" t="str">
        <f t="shared" si="2"/>
        <v>y</v>
      </c>
      <c r="M21" s="176" t="str">
        <f t="shared" si="3"/>
        <v>ㄗ</v>
      </c>
      <c r="O21" s="161">
        <v>19</v>
      </c>
      <c r="P21" s="175" t="str">
        <f t="shared" si="4"/>
        <v/>
      </c>
      <c r="Q21" s="175" t="str">
        <f t="shared" si="5"/>
        <v/>
      </c>
      <c r="S21" s="161">
        <v>19</v>
      </c>
      <c r="T21" s="164" t="str">
        <f t="shared" si="6"/>
        <v>y</v>
      </c>
      <c r="U21" s="178" t="str">
        <f t="shared" si="7"/>
        <v>z</v>
      </c>
      <c r="V21" s="178" t="str">
        <f xml:space="preserve"> IFERROR( INDEX($Z$3:$Z$44, MATCH(表格1_33710[[#This Row],[方音符號]], $Y$3:$Y$44, 0)), "")</f>
        <v>z</v>
      </c>
      <c r="W21" s="164" t="str">
        <f xml:space="preserve"> INDEX($M$3:$M$57, MATCH(表格1_33710[[#This Row],[鍵盤位置]], $L$3:$L$57,0))</f>
        <v>ㄗ</v>
      </c>
      <c r="Y21" s="223" t="str">
        <f xml:space="preserve"> INDEX($M$3:$M$44, MATCH(表格1_33710[[#This Row],[鍵盤位置]], $L$3:$L$44,0))</f>
        <v>ㄗ</v>
      </c>
      <c r="Z21" s="224" t="s">
        <v>204</v>
      </c>
      <c r="AA21" s="225" t="s">
        <v>748</v>
      </c>
    </row>
    <row r="22" spans="1:27">
      <c r="A22" s="161" t="e">
        <f xml:space="preserve"> SEARCH("|",A21,1)</f>
        <v>#VALUE!</v>
      </c>
      <c r="G22" s="161" cm="1">
        <f t="array" ref="G22" xml:space="preserve"> ROW() - ROW($2:$2)</f>
        <v>20</v>
      </c>
      <c r="H22" s="186" t="str">
        <f t="shared" si="0"/>
        <v>c</v>
      </c>
      <c r="I22" s="187" t="str">
        <f t="shared" si="1"/>
        <v>h</v>
      </c>
      <c r="K22" s="161">
        <v>20</v>
      </c>
      <c r="L22" s="176" t="str">
        <f t="shared" si="2"/>
        <v>h</v>
      </c>
      <c r="M22" s="176" t="str">
        <f t="shared" si="3"/>
        <v>ㄘ</v>
      </c>
      <c r="O22" s="161">
        <v>20</v>
      </c>
      <c r="P22" s="175" t="str">
        <f t="shared" si="4"/>
        <v/>
      </c>
      <c r="Q22" s="175" t="str">
        <f t="shared" si="5"/>
        <v/>
      </c>
      <c r="S22" s="161">
        <v>20</v>
      </c>
      <c r="T22" s="164" t="str">
        <f t="shared" si="6"/>
        <v>h</v>
      </c>
      <c r="U22" s="178" t="str">
        <f t="shared" si="7"/>
        <v>c</v>
      </c>
      <c r="V22" s="178" t="str">
        <f xml:space="preserve"> IFERROR( INDEX($Z$3:$Z$44, MATCH(表格1_33710[[#This Row],[方音符號]], $Y$3:$Y$44, 0)), "")</f>
        <v>ch</v>
      </c>
      <c r="W22" s="164" t="str">
        <f xml:space="preserve"> INDEX($M$3:$M$57, MATCH(表格1_33710[[#This Row],[鍵盤位置]], $L$3:$L$57,0))</f>
        <v>ㄘ</v>
      </c>
      <c r="Y22" s="223" t="str">
        <f xml:space="preserve"> INDEX($M$3:$M$44, MATCH(表格1_33710[[#This Row],[鍵盤位置]], $L$3:$L$44,0))</f>
        <v>ㄘ</v>
      </c>
      <c r="Z22" s="224" t="s">
        <v>227</v>
      </c>
      <c r="AA22" s="225" t="s">
        <v>749</v>
      </c>
    </row>
    <row r="23" spans="1:27">
      <c r="A23" s="161" t="e">
        <f xml:space="preserve"> SEARCH("|",A21,A22+1)</f>
        <v>#VALUE!</v>
      </c>
      <c r="G23" s="161" cm="1">
        <f t="array" ref="G23" xml:space="preserve"> ROW() - ROW($2:$2)</f>
        <v>21</v>
      </c>
      <c r="H23" s="206" t="str">
        <f t="shared" si="0"/>
        <v>s</v>
      </c>
      <c r="I23" s="206" t="str">
        <f t="shared" si="1"/>
        <v>n</v>
      </c>
      <c r="K23" s="161">
        <v>21</v>
      </c>
      <c r="L23" s="176" t="str">
        <f t="shared" si="2"/>
        <v>n</v>
      </c>
      <c r="M23" s="176" t="str">
        <f t="shared" si="3"/>
        <v>ㄙ</v>
      </c>
      <c r="O23" s="161">
        <v>21</v>
      </c>
      <c r="P23" s="175" t="str">
        <f t="shared" si="4"/>
        <v/>
      </c>
      <c r="Q23" s="175" t="str">
        <f t="shared" si="5"/>
        <v/>
      </c>
      <c r="S23" s="161">
        <v>21</v>
      </c>
      <c r="T23" s="164" t="str">
        <f t="shared" si="6"/>
        <v>n</v>
      </c>
      <c r="U23" s="178" t="str">
        <f t="shared" si="7"/>
        <v>s</v>
      </c>
      <c r="V23" s="178" t="str">
        <f xml:space="preserve"> IFERROR( INDEX($Z$3:$Z$44, MATCH(表格1_33710[[#This Row],[方音符號]], $Y$3:$Y$44, 0)), "")</f>
        <v>s</v>
      </c>
      <c r="W23" s="164" t="str">
        <f xml:space="preserve"> INDEX($M$3:$M$57, MATCH(表格1_33710[[#This Row],[鍵盤位置]], $L$3:$L$57,0))</f>
        <v>ㄙ</v>
      </c>
      <c r="Y23" s="223" t="str">
        <f xml:space="preserve"> INDEX($M$3:$M$44, MATCH(表格1_33710[[#This Row],[鍵盤位置]], $L$3:$L$44,0))</f>
        <v>ㄙ</v>
      </c>
      <c r="Z23" s="224" t="s">
        <v>136</v>
      </c>
      <c r="AA23" s="225" t="s">
        <v>294</v>
      </c>
    </row>
    <row r="24" spans="1:27">
      <c r="A24" s="161" t="e">
        <f xml:space="preserve"> SEARCH("|",A21,A23+1)</f>
        <v>#VALUE!</v>
      </c>
      <c r="G24" s="161" cm="1">
        <f t="array" ref="G24" xml:space="preserve"> ROW() - ROW($2:$2)</f>
        <v>22</v>
      </c>
      <c r="H24" s="206" t="str">
        <f t="shared" si="0"/>
        <v>i</v>
      </c>
      <c r="I24" s="206" t="str">
        <f t="shared" si="1"/>
        <v>u</v>
      </c>
      <c r="K24" s="161">
        <v>22</v>
      </c>
      <c r="L24" s="176" t="str">
        <f t="shared" si="2"/>
        <v>u</v>
      </c>
      <c r="M24" s="176" t="str">
        <f t="shared" si="3"/>
        <v>ㄧ</v>
      </c>
      <c r="O24" s="161">
        <v>22</v>
      </c>
      <c r="P24" s="175" t="str">
        <f t="shared" si="4"/>
        <v/>
      </c>
      <c r="Q24" s="175" t="str">
        <f t="shared" si="5"/>
        <v/>
      </c>
      <c r="S24" s="161">
        <v>22</v>
      </c>
      <c r="T24" s="164" t="str">
        <f t="shared" si="6"/>
        <v>u</v>
      </c>
      <c r="U24" s="178" t="str">
        <f t="shared" si="7"/>
        <v>i</v>
      </c>
      <c r="V24" s="178" t="str">
        <f xml:space="preserve"> IFERROR( INDEX($Z$3:$Z$44, MATCH(表格1_33710[[#This Row],[方音符號]], $Y$3:$Y$44, 0)), "")</f>
        <v>i</v>
      </c>
      <c r="W24" s="164" t="str">
        <f xml:space="preserve"> INDEX($M$3:$M$57, MATCH(表格1_33710[[#This Row],[鍵盤位置]], $L$3:$L$57,0))</f>
        <v>ㄧ</v>
      </c>
      <c r="Y24" s="223" t="str">
        <f xml:space="preserve"> INDEX($M$3:$M$44, MATCH(表格1_33710[[#This Row],[鍵盤位置]], $L$3:$L$44,0))</f>
        <v>ㄧ</v>
      </c>
      <c r="Z24" s="226" t="s">
        <v>49</v>
      </c>
      <c r="AA24" s="225" t="s">
        <v>276</v>
      </c>
    </row>
    <row r="25" spans="1:27">
      <c r="A25" s="216" t="e">
        <f xml:space="preserve"> MID(A21,A22+1, A24-A23-1)</f>
        <v>#VALUE!</v>
      </c>
      <c r="B25" s="217" t="e">
        <f xml:space="preserve"> LEN(A25)</f>
        <v>#VALUE!</v>
      </c>
      <c r="G25" s="161" cm="1">
        <f t="array" ref="G25" xml:space="preserve"> ROW() - ROW($2:$2)</f>
        <v>23</v>
      </c>
      <c r="H25" s="206" t="str">
        <f t="shared" si="0"/>
        <v>u</v>
      </c>
      <c r="I25" s="206" t="str">
        <f t="shared" si="1"/>
        <v>j</v>
      </c>
      <c r="K25" s="161">
        <v>23</v>
      </c>
      <c r="L25" s="176" t="str">
        <f t="shared" si="2"/>
        <v>j</v>
      </c>
      <c r="M25" s="176" t="str">
        <f t="shared" si="3"/>
        <v>ㄨ</v>
      </c>
      <c r="O25" s="161">
        <v>23</v>
      </c>
      <c r="P25" s="175" t="str">
        <f t="shared" si="4"/>
        <v/>
      </c>
      <c r="Q25" s="175" t="str">
        <f t="shared" si="5"/>
        <v/>
      </c>
      <c r="S25" s="161">
        <v>23</v>
      </c>
      <c r="T25" s="164" t="str">
        <f t="shared" si="6"/>
        <v>j</v>
      </c>
      <c r="U25" s="178" t="str">
        <f t="shared" si="7"/>
        <v>u</v>
      </c>
      <c r="V25" s="178" t="str">
        <f xml:space="preserve"> IFERROR( INDEX($Z$3:$Z$44, MATCH(表格1_33710[[#This Row],[方音符號]], $Y$3:$Y$44, 0)), "")</f>
        <v>u</v>
      </c>
      <c r="W25" s="164" t="str">
        <f xml:space="preserve"> INDEX($M$3:$M$57, MATCH(表格1_33710[[#This Row],[鍵盤位置]], $L$3:$L$57,0))</f>
        <v>ㄨ</v>
      </c>
      <c r="Y25" s="223" t="str">
        <f xml:space="preserve"> INDEX($M$3:$M$44, MATCH(表格1_33710[[#This Row],[鍵盤位置]], $L$3:$L$44,0))</f>
        <v>ㄨ</v>
      </c>
      <c r="Z25" s="226" t="s">
        <v>77</v>
      </c>
      <c r="AA25" s="225" t="s">
        <v>274</v>
      </c>
    </row>
    <row r="26" spans="1:27">
      <c r="A26" s="216" t="e">
        <f xml:space="preserve"> MID(A21,A23+1, A24-A23-1)</f>
        <v>#VALUE!</v>
      </c>
      <c r="B26" s="217" t="e">
        <f xml:space="preserve"> LEN(A26)</f>
        <v>#VALUE!</v>
      </c>
      <c r="G26" s="161" cm="1">
        <f t="array" ref="G26" xml:space="preserve"> ROW() - ROW($2:$2)</f>
        <v>24</v>
      </c>
      <c r="H26" s="206" t="str">
        <f t="shared" si="0"/>
        <v>v</v>
      </c>
      <c r="I26" s="206" t="str">
        <f t="shared" si="1"/>
        <v>m</v>
      </c>
      <c r="K26" s="161">
        <v>24</v>
      </c>
      <c r="L26" s="176" t="str">
        <f t="shared" si="2"/>
        <v>m</v>
      </c>
      <c r="M26" s="176" t="str">
        <f t="shared" si="3"/>
        <v>ㄩ</v>
      </c>
      <c r="O26" s="161">
        <v>24</v>
      </c>
      <c r="P26" s="175" t="str">
        <f t="shared" si="4"/>
        <v/>
      </c>
      <c r="Q26" s="175" t="str">
        <f t="shared" si="5"/>
        <v/>
      </c>
      <c r="S26" s="161">
        <v>24</v>
      </c>
      <c r="T26" s="164" t="str">
        <f t="shared" si="6"/>
        <v>m</v>
      </c>
      <c r="U26" s="178" t="str">
        <f t="shared" si="7"/>
        <v>v</v>
      </c>
      <c r="V26" s="178" t="str">
        <f xml:space="preserve"> IFERROR( INDEX($Z$3:$Z$44, MATCH(表格1_33710[[#This Row],[方音符號]], $Y$3:$Y$44, 0)), "")</f>
        <v xml:space="preserve">ü </v>
      </c>
      <c r="W26" s="164" t="str">
        <f xml:space="preserve"> INDEX($M$3:$M$57, MATCH(表格1_33710[[#This Row],[鍵盤位置]], $L$3:$L$57,0))</f>
        <v>ㄩ</v>
      </c>
      <c r="Y26" s="223" t="str">
        <f xml:space="preserve"> INDEX($M$3:$M$44, MATCH(表格1_33710[[#This Row],[鍵盤位置]], $L$3:$L$44,0))</f>
        <v>ㄩ</v>
      </c>
      <c r="Z26" s="226" t="s">
        <v>740</v>
      </c>
      <c r="AA26" s="225" t="s">
        <v>738</v>
      </c>
    </row>
    <row r="27" spans="1:27">
      <c r="G27" s="161" cm="1">
        <f t="array" ref="G27" xml:space="preserve"> ROW() - ROW($2:$2)</f>
        <v>25</v>
      </c>
      <c r="H27" s="206" t="str">
        <f t="shared" si="0"/>
        <v>a</v>
      </c>
      <c r="I27" s="206" t="str">
        <f t="shared" si="1"/>
        <v>8</v>
      </c>
      <c r="K27" s="161">
        <v>25</v>
      </c>
      <c r="L27" s="176" t="str">
        <f t="shared" si="2"/>
        <v>8</v>
      </c>
      <c r="M27" s="176" t="str">
        <f t="shared" si="3"/>
        <v>ㄚ</v>
      </c>
      <c r="O27" s="161">
        <v>25</v>
      </c>
      <c r="P27" s="175" t="str">
        <f t="shared" si="4"/>
        <v/>
      </c>
      <c r="Q27" s="175" t="str">
        <f t="shared" si="5"/>
        <v/>
      </c>
      <c r="S27" s="161">
        <v>25</v>
      </c>
      <c r="T27" s="164" t="str">
        <f t="shared" si="6"/>
        <v>8</v>
      </c>
      <c r="U27" s="178" t="str">
        <f t="shared" si="7"/>
        <v>a</v>
      </c>
      <c r="V27" s="178" t="str">
        <f xml:space="preserve"> IFERROR( INDEX($Z$3:$Z$44, MATCH(表格1_33710[[#This Row],[方音符號]], $Y$3:$Y$44, 0)), "")</f>
        <v>a</v>
      </c>
      <c r="W27" s="164" t="str">
        <f xml:space="preserve"> INDEX($M$3:$M$57, MATCH(表格1_33710[[#This Row],[鍵盤位置]], $L$3:$L$57,0))</f>
        <v>ㄚ</v>
      </c>
      <c r="Y27" s="223" t="str">
        <f xml:space="preserve"> INDEX($M$3:$M$44, MATCH(表格1_33710[[#This Row],[鍵盤位置]], $L$3:$L$44,0))</f>
        <v>ㄚ</v>
      </c>
      <c r="Z27" s="226" t="s">
        <v>21</v>
      </c>
      <c r="AA27" s="225" t="s">
        <v>278</v>
      </c>
    </row>
    <row r="28" spans="1:27">
      <c r="G28" s="161" cm="1">
        <f t="array" ref="G28" xml:space="preserve"> ROW() - ROW($2:$2)</f>
        <v>26</v>
      </c>
      <c r="H28" s="206" t="str">
        <f t="shared" si="0"/>
        <v>o</v>
      </c>
      <c r="I28" s="206" t="str">
        <f t="shared" si="1"/>
        <v>i</v>
      </c>
      <c r="K28" s="161">
        <v>26</v>
      </c>
      <c r="L28" s="176" t="str">
        <f t="shared" si="2"/>
        <v>i</v>
      </c>
      <c r="M28" s="176" t="str">
        <f t="shared" si="3"/>
        <v>ㄛ</v>
      </c>
      <c r="O28" s="161">
        <v>26</v>
      </c>
      <c r="P28" s="175" t="str">
        <f t="shared" si="4"/>
        <v/>
      </c>
      <c r="Q28" s="175" t="str">
        <f t="shared" si="5"/>
        <v/>
      </c>
      <c r="S28" s="161">
        <v>26</v>
      </c>
      <c r="T28" s="164" t="str">
        <f t="shared" si="6"/>
        <v>i</v>
      </c>
      <c r="U28" s="178" t="str">
        <f t="shared" si="7"/>
        <v>o</v>
      </c>
      <c r="V28" s="178" t="str">
        <f xml:space="preserve"> IFERROR( INDEX($Z$3:$Z$44, MATCH(表格1_33710[[#This Row],[方音符號]], $Y$3:$Y$44, 0)), "")</f>
        <v>o</v>
      </c>
      <c r="W28" s="164" t="str">
        <f xml:space="preserve"> INDEX($M$3:$M$57, MATCH(表格1_33710[[#This Row],[鍵盤位置]], $L$3:$L$57,0))</f>
        <v>ㄛ</v>
      </c>
      <c r="Y28" s="223" t="str">
        <f xml:space="preserve"> INDEX($M$3:$M$44, MATCH(表格1_33710[[#This Row],[鍵盤位置]], $L$3:$L$44,0))</f>
        <v>ㄛ</v>
      </c>
      <c r="Z28" s="226" t="s">
        <v>139</v>
      </c>
      <c r="AA28" s="225" t="s">
        <v>271</v>
      </c>
    </row>
    <row r="29" spans="1:27">
      <c r="G29" s="161" cm="1">
        <f t="array" ref="G29" xml:space="preserve"> ROW() - ROW($2:$2)</f>
        <v>27</v>
      </c>
      <c r="H29" s="206" t="str">
        <f t="shared" si="0"/>
        <v>e</v>
      </c>
      <c r="I29" s="206" t="str">
        <f t="shared" si="1"/>
        <v>k</v>
      </c>
      <c r="K29" s="161">
        <v>27</v>
      </c>
      <c r="L29" s="176" t="str">
        <f t="shared" si="2"/>
        <v>k</v>
      </c>
      <c r="M29" s="176" t="str">
        <f t="shared" si="3"/>
        <v>ㄜ</v>
      </c>
      <c r="O29" s="161">
        <v>27</v>
      </c>
      <c r="P29" s="175" t="str">
        <f t="shared" si="4"/>
        <v/>
      </c>
      <c r="Q29" s="175" t="str">
        <f t="shared" si="5"/>
        <v/>
      </c>
      <c r="S29" s="161">
        <v>27</v>
      </c>
      <c r="T29" s="164" t="str">
        <f t="shared" si="6"/>
        <v>k</v>
      </c>
      <c r="U29" s="178" t="str">
        <f t="shared" si="7"/>
        <v>e</v>
      </c>
      <c r="V29" s="178" t="str">
        <f xml:space="preserve"> IFERROR( INDEX($Z$3:$Z$44, MATCH(表格1_33710[[#This Row],[方音符號]], $Y$3:$Y$44, 0)), "")</f>
        <v>e</v>
      </c>
      <c r="W29" s="164" t="str">
        <f xml:space="preserve"> INDEX($M$3:$M$57, MATCH(表格1_33710[[#This Row],[鍵盤位置]], $L$3:$L$57,0))</f>
        <v>ㄜ</v>
      </c>
      <c r="Y29" s="223" t="str">
        <f xml:space="preserve"> INDEX($M$3:$M$44, MATCH(表格1_33710[[#This Row],[鍵盤位置]], $L$3:$L$44,0))</f>
        <v>ㄜ</v>
      </c>
      <c r="Z29" s="226" t="s">
        <v>141</v>
      </c>
      <c r="AA29" s="225" t="s">
        <v>725</v>
      </c>
    </row>
    <row r="30" spans="1:27">
      <c r="G30" s="161" cm="1">
        <f t="array" ref="G30" xml:space="preserve"> ROW() - ROW($2:$2)</f>
        <v>28</v>
      </c>
      <c r="H30" s="206" t="str">
        <f t="shared" si="0"/>
        <v>E</v>
      </c>
      <c r="I30" s="206" t="str">
        <f t="shared" si="1"/>
        <v>,</v>
      </c>
      <c r="K30" s="161">
        <v>28</v>
      </c>
      <c r="L30" s="176" t="str">
        <f t="shared" si="2"/>
        <v>,</v>
      </c>
      <c r="M30" s="176" t="str">
        <f t="shared" si="3"/>
        <v>ㄝ</v>
      </c>
      <c r="O30" s="161">
        <v>28</v>
      </c>
      <c r="P30" s="175" t="str">
        <f t="shared" si="4"/>
        <v/>
      </c>
      <c r="Q30" s="175" t="str">
        <f t="shared" si="5"/>
        <v/>
      </c>
      <c r="S30" s="161">
        <v>28</v>
      </c>
      <c r="T30" s="164" t="str">
        <f t="shared" si="6"/>
        <v>,</v>
      </c>
      <c r="U30" s="178" t="str">
        <f t="shared" si="7"/>
        <v>E</v>
      </c>
      <c r="V30" s="178" t="str">
        <f xml:space="preserve"> IFERROR( INDEX($Z$3:$Z$44, MATCH(表格1_33710[[#This Row],[方音符號]], $Y$3:$Y$44, 0)), "")</f>
        <v xml:space="preserve">ê </v>
      </c>
      <c r="W30" s="164" t="str">
        <f xml:space="preserve"> INDEX($M$3:$M$57, MATCH(表格1_33710[[#This Row],[鍵盤位置]], $L$3:$L$57,0))</f>
        <v>ㄝ</v>
      </c>
      <c r="Y30" s="223" t="str">
        <f xml:space="preserve"> INDEX($M$3:$M$44, MATCH(表格1_33710[[#This Row],[鍵盤位置]], $L$3:$L$44,0))</f>
        <v>ㄝ</v>
      </c>
      <c r="Z30" s="226" t="s">
        <v>742</v>
      </c>
      <c r="AA30" s="225" t="s">
        <v>724</v>
      </c>
    </row>
    <row r="31" spans="1:27">
      <c r="G31" s="161" cm="1">
        <f t="array" ref="G31" xml:space="preserve"> ROW() - ROW($2:$2)</f>
        <v>29</v>
      </c>
      <c r="H31" s="206" t="str">
        <f t="shared" si="0"/>
        <v>A</v>
      </c>
      <c r="I31" s="206" t="str">
        <f t="shared" si="1"/>
        <v>9</v>
      </c>
      <c r="K31" s="161">
        <v>29</v>
      </c>
      <c r="L31" s="176" t="str">
        <f t="shared" si="2"/>
        <v>9</v>
      </c>
      <c r="M31" s="176" t="str">
        <f t="shared" si="3"/>
        <v>ㄞ</v>
      </c>
      <c r="O31" s="161">
        <v>29</v>
      </c>
      <c r="P31" s="175" t="str">
        <f t="shared" si="4"/>
        <v/>
      </c>
      <c r="Q31" s="175" t="str">
        <f t="shared" si="5"/>
        <v/>
      </c>
      <c r="S31" s="161">
        <v>29</v>
      </c>
      <c r="T31" s="164" t="str">
        <f t="shared" si="6"/>
        <v>9</v>
      </c>
      <c r="U31" s="178" t="str">
        <f t="shared" si="7"/>
        <v>A</v>
      </c>
      <c r="V31" s="178" t="str">
        <f xml:space="preserve"> IFERROR( INDEX($Z$3:$Z$44, MATCH(表格1_33710[[#This Row],[方音符號]], $Y$3:$Y$44, 0)), "")</f>
        <v>ai</v>
      </c>
      <c r="W31" s="164" t="str">
        <f xml:space="preserve"> INDEX($M$3:$M$57, MATCH(表格1_33710[[#This Row],[鍵盤位置]], $L$3:$L$57,0))</f>
        <v>ㄞ</v>
      </c>
      <c r="Y31" s="223" t="str">
        <f xml:space="preserve"> INDEX($M$3:$M$44, MATCH(表格1_33710[[#This Row],[鍵盤位置]], $L$3:$L$44,0))</f>
        <v>ㄞ</v>
      </c>
      <c r="Z31" s="226" t="s">
        <v>143</v>
      </c>
      <c r="AA31" s="225" t="s">
        <v>723</v>
      </c>
    </row>
    <row r="32" spans="1:27">
      <c r="G32" s="161" cm="1">
        <f t="array" ref="G32" xml:space="preserve"> ROW() - ROW($2:$2)</f>
        <v>30</v>
      </c>
      <c r="H32" s="206" t="str">
        <f t="shared" si="0"/>
        <v>I</v>
      </c>
      <c r="I32" s="206" t="str">
        <f t="shared" si="1"/>
        <v>o</v>
      </c>
      <c r="K32" s="161">
        <v>30</v>
      </c>
      <c r="L32" s="176" t="str">
        <f t="shared" si="2"/>
        <v>o</v>
      </c>
      <c r="M32" s="176" t="str">
        <f t="shared" si="3"/>
        <v>ㄟ</v>
      </c>
      <c r="O32" s="161">
        <v>30</v>
      </c>
      <c r="P32" s="175" t="str">
        <f t="shared" si="4"/>
        <v/>
      </c>
      <c r="Q32" s="175" t="str">
        <f t="shared" si="5"/>
        <v/>
      </c>
      <c r="S32" s="161">
        <v>30</v>
      </c>
      <c r="T32" s="164" t="str">
        <f t="shared" si="6"/>
        <v>o</v>
      </c>
      <c r="U32" s="178" t="str">
        <f t="shared" si="7"/>
        <v>I</v>
      </c>
      <c r="V32" s="178" t="str">
        <f xml:space="preserve"> IFERROR( INDEX($Z$3:$Z$44, MATCH(表格1_33710[[#This Row],[方音符號]], $Y$3:$Y$44, 0)), "")</f>
        <v>ei</v>
      </c>
      <c r="W32" s="164" t="str">
        <f xml:space="preserve"> INDEX($M$3:$M$57, MATCH(表格1_33710[[#This Row],[鍵盤位置]], $L$3:$L$57,0))</f>
        <v>ㄟ</v>
      </c>
      <c r="Y32" s="223" t="str">
        <f xml:space="preserve"> INDEX($M$3:$M$44, MATCH(表格1_33710[[#This Row],[鍵盤位置]], $L$3:$L$44,0))</f>
        <v>ㄟ</v>
      </c>
      <c r="Z32" s="226" t="s">
        <v>718</v>
      </c>
      <c r="AA32" s="225" t="s">
        <v>722</v>
      </c>
    </row>
    <row r="33" spans="7:27">
      <c r="G33" s="161" cm="1">
        <f t="array" ref="G33" xml:space="preserve"> ROW() - ROW($2:$2)</f>
        <v>31</v>
      </c>
      <c r="H33" s="206" t="str">
        <f t="shared" si="0"/>
        <v>O</v>
      </c>
      <c r="I33" s="206" t="str">
        <f t="shared" si="1"/>
        <v>l</v>
      </c>
      <c r="K33" s="161">
        <v>31</v>
      </c>
      <c r="L33" s="176" t="str">
        <f t="shared" si="2"/>
        <v>l</v>
      </c>
      <c r="M33" s="176" t="str">
        <f t="shared" si="3"/>
        <v>ㄠ</v>
      </c>
      <c r="O33" s="161">
        <v>31</v>
      </c>
      <c r="P33" s="175" t="str">
        <f t="shared" si="4"/>
        <v/>
      </c>
      <c r="Q33" s="175" t="str">
        <f t="shared" si="5"/>
        <v/>
      </c>
      <c r="S33" s="161">
        <v>31</v>
      </c>
      <c r="T33" s="164" t="str">
        <f t="shared" si="6"/>
        <v>l</v>
      </c>
      <c r="U33" s="178" t="str">
        <f t="shared" si="7"/>
        <v>O</v>
      </c>
      <c r="V33" s="178" t="str">
        <f xml:space="preserve"> IFERROR( INDEX($Z$3:$Z$44, MATCH(表格1_33710[[#This Row],[方音符號]], $Y$3:$Y$44, 0)), "")</f>
        <v>ao</v>
      </c>
      <c r="W33" s="164" t="str">
        <f xml:space="preserve"> INDEX($M$3:$M$57, MATCH(表格1_33710[[#This Row],[鍵盤位置]], $L$3:$L$57,0))</f>
        <v>ㄠ</v>
      </c>
      <c r="Y33" s="223" t="str">
        <f xml:space="preserve"> INDEX($M$3:$M$44, MATCH(表格1_33710[[#This Row],[鍵盤位置]], $L$3:$L$44,0))</f>
        <v>ㄠ</v>
      </c>
      <c r="Z33" s="226" t="s">
        <v>720</v>
      </c>
      <c r="AA33" s="225" t="s">
        <v>734</v>
      </c>
    </row>
    <row r="34" spans="7:27">
      <c r="G34" s="161" cm="1">
        <f t="array" ref="G34" xml:space="preserve"> ROW() - ROW($2:$2)</f>
        <v>32</v>
      </c>
      <c r="H34" s="206" t="str">
        <f t="shared" si="0"/>
        <v>U</v>
      </c>
      <c r="I34" s="206" t="str">
        <f t="shared" si="1"/>
        <v>.</v>
      </c>
      <c r="K34" s="161">
        <v>32</v>
      </c>
      <c r="L34" s="176" t="str">
        <f t="shared" si="2"/>
        <v>.</v>
      </c>
      <c r="M34" s="176" t="str">
        <f t="shared" si="3"/>
        <v>ㄡ</v>
      </c>
      <c r="O34" s="161">
        <v>32</v>
      </c>
      <c r="P34" s="175" t="str">
        <f t="shared" si="4"/>
        <v/>
      </c>
      <c r="Q34" s="175" t="str">
        <f t="shared" si="5"/>
        <v/>
      </c>
      <c r="S34" s="161">
        <v>32</v>
      </c>
      <c r="T34" s="164" t="str">
        <f t="shared" si="6"/>
        <v>.</v>
      </c>
      <c r="U34" s="178" t="str">
        <f t="shared" si="7"/>
        <v>U</v>
      </c>
      <c r="V34" s="178" t="str">
        <f xml:space="preserve"> IFERROR( INDEX($Z$3:$Z$44, MATCH(表格1_33710[[#This Row],[方音符號]], $Y$3:$Y$44, 0)), "")</f>
        <v>ou</v>
      </c>
      <c r="W34" s="164" t="str">
        <f xml:space="preserve"> INDEX($M$3:$M$57, MATCH(表格1_33710[[#This Row],[鍵盤位置]], $L$3:$L$57,0))</f>
        <v>ㄡ</v>
      </c>
      <c r="Y34" s="223" t="str">
        <f xml:space="preserve"> INDEX($M$3:$M$44, MATCH(表格1_33710[[#This Row],[鍵盤位置]], $L$3:$L$44,0))</f>
        <v>ㄡ</v>
      </c>
      <c r="Z34" s="226" t="s">
        <v>737</v>
      </c>
      <c r="AA34" s="225" t="s">
        <v>735</v>
      </c>
    </row>
    <row r="35" spans="7:27">
      <c r="G35" s="161" cm="1">
        <f t="array" ref="G35" xml:space="preserve"> ROW() - ROW($2:$2)</f>
        <v>33</v>
      </c>
      <c r="H35" s="206" t="str">
        <f t="shared" ref="H35:H57" si="8" xml:space="preserve"> IFERROR( MID($A$6, $G35, 1), "")</f>
        <v>M</v>
      </c>
      <c r="I35" s="206" t="str">
        <f t="shared" ref="I35:I57" si="9" xml:space="preserve"> IFERROR( MID($A$7, $G35, 1), "")</f>
        <v>0</v>
      </c>
      <c r="K35" s="161">
        <v>33</v>
      </c>
      <c r="L35" s="176" t="str">
        <f t="shared" ref="L35:L57" si="10" xml:space="preserve"> IFERROR( MID($A$15, $G35, 1), "")</f>
        <v>0</v>
      </c>
      <c r="M35" s="176" t="str">
        <f t="shared" ref="M35:M57" si="11" xml:space="preserve"> IFERROR( MID($A$16, $G35, 1), "")</f>
        <v>ㄢ</v>
      </c>
      <c r="O35" s="161">
        <v>33</v>
      </c>
      <c r="P35" s="175" t="str">
        <f t="shared" si="4"/>
        <v/>
      </c>
      <c r="Q35" s="175" t="str">
        <f t="shared" si="5"/>
        <v/>
      </c>
      <c r="S35" s="161">
        <v>33</v>
      </c>
      <c r="T35" s="164" t="str">
        <f t="shared" ref="T35:T57" si="12">I35</f>
        <v>0</v>
      </c>
      <c r="U35" s="178" t="str">
        <f t="shared" ref="U35:U57" si="13">H35</f>
        <v>M</v>
      </c>
      <c r="V35" s="178" t="str">
        <f xml:space="preserve"> IFERROR( INDEX($Z$3:$Z$44, MATCH(表格1_33710[[#This Row],[方音符號]], $Y$3:$Y$44, 0)), "")</f>
        <v>an</v>
      </c>
      <c r="W35" s="164" t="str">
        <f xml:space="preserve"> INDEX($M$3:$M$57, MATCH(表格1_33710[[#This Row],[鍵盤位置]], $L$3:$L$57,0))</f>
        <v>ㄢ</v>
      </c>
      <c r="Y35" s="223" t="str">
        <f xml:space="preserve"> INDEX($M$3:$M$44, MATCH(表格1_33710[[#This Row],[鍵盤位置]], $L$3:$L$44,0))</f>
        <v>ㄢ</v>
      </c>
      <c r="Z35" s="226" t="s">
        <v>149</v>
      </c>
      <c r="AA35" s="225" t="s">
        <v>267</v>
      </c>
    </row>
    <row r="36" spans="7:27">
      <c r="G36" s="161" cm="1">
        <f t="array" ref="G36" xml:space="preserve"> ROW() - ROW($2:$2)</f>
        <v>34</v>
      </c>
      <c r="H36" s="206" t="str">
        <f t="shared" si="8"/>
        <v>N</v>
      </c>
      <c r="I36" s="206" t="str">
        <f t="shared" si="9"/>
        <v>p</v>
      </c>
      <c r="K36" s="161">
        <v>34</v>
      </c>
      <c r="L36" s="176" t="str">
        <f t="shared" si="10"/>
        <v>p</v>
      </c>
      <c r="M36" s="176" t="str">
        <f t="shared" si="11"/>
        <v>ㄣ</v>
      </c>
      <c r="O36" s="161">
        <v>34</v>
      </c>
      <c r="P36" s="175" t="str">
        <f t="shared" si="4"/>
        <v/>
      </c>
      <c r="Q36" s="175" t="str">
        <f t="shared" si="5"/>
        <v/>
      </c>
      <c r="S36" s="161">
        <v>34</v>
      </c>
      <c r="T36" s="164" t="str">
        <f t="shared" si="12"/>
        <v>p</v>
      </c>
      <c r="U36" s="178" t="str">
        <f t="shared" si="13"/>
        <v>N</v>
      </c>
      <c r="V36" s="178" t="str">
        <f xml:space="preserve"> IFERROR( INDEX($Z$3:$Z$44, MATCH(表格1_33710[[#This Row],[方音符號]], $Y$3:$Y$44, 0)), "")</f>
        <v>enn</v>
      </c>
      <c r="W36" s="164" t="str">
        <f xml:space="preserve"> INDEX($M$3:$M$57, MATCH(表格1_33710[[#This Row],[鍵盤位置]], $L$3:$L$57,0))</f>
        <v>ㄣ</v>
      </c>
      <c r="Y36" s="223" t="str">
        <f xml:space="preserve"> INDEX($M$3:$M$44, MATCH(表格1_33710[[#This Row],[鍵盤位置]], $L$3:$L$44,0))</f>
        <v>ㄣ</v>
      </c>
      <c r="Z36" s="226" t="s">
        <v>142</v>
      </c>
      <c r="AA36" s="225" t="s">
        <v>721</v>
      </c>
    </row>
    <row r="37" spans="7:27">
      <c r="G37" s="161" cm="1">
        <f t="array" ref="G37" xml:space="preserve"> ROW() - ROW($2:$2)</f>
        <v>35</v>
      </c>
      <c r="H37" s="206" t="str">
        <f t="shared" si="8"/>
        <v>K</v>
      </c>
      <c r="I37" s="206" t="str">
        <f t="shared" si="9"/>
        <v>;</v>
      </c>
      <c r="K37" s="161">
        <v>35</v>
      </c>
      <c r="L37" s="176" t="str">
        <f t="shared" si="10"/>
        <v>;</v>
      </c>
      <c r="M37" s="176" t="str">
        <f t="shared" si="11"/>
        <v>ㄤ</v>
      </c>
      <c r="O37" s="161">
        <v>35</v>
      </c>
      <c r="P37" s="175" t="str">
        <f t="shared" si="4"/>
        <v/>
      </c>
      <c r="Q37" s="175" t="str">
        <f t="shared" si="5"/>
        <v/>
      </c>
      <c r="S37" s="161">
        <v>35</v>
      </c>
      <c r="T37" s="164" t="str">
        <f t="shared" si="12"/>
        <v>;</v>
      </c>
      <c r="U37" s="178" t="str">
        <f t="shared" si="13"/>
        <v>K</v>
      </c>
      <c r="V37" s="178" t="str">
        <f xml:space="preserve"> IFERROR( INDEX($Z$3:$Z$44, MATCH(表格1_33710[[#This Row],[方音符號]], $Y$3:$Y$44, 0)), "")</f>
        <v>ang</v>
      </c>
      <c r="W37" s="164" t="str">
        <f xml:space="preserve"> INDEX($M$3:$M$57, MATCH(表格1_33710[[#This Row],[鍵盤位置]], $L$3:$L$57,0))</f>
        <v>ㄤ</v>
      </c>
      <c r="Y37" s="223" t="str">
        <f xml:space="preserve"> INDEX($M$3:$M$44, MATCH(表格1_33710[[#This Row],[鍵盤位置]], $L$3:$L$44,0))</f>
        <v>ㄤ</v>
      </c>
      <c r="Z37" s="226" t="s">
        <v>151</v>
      </c>
      <c r="AA37" s="225" t="s">
        <v>729</v>
      </c>
    </row>
    <row r="38" spans="7:27">
      <c r="G38" s="161" cm="1">
        <f t="array" ref="G38" xml:space="preserve"> ROW() - ROW($2:$2)</f>
        <v>36</v>
      </c>
      <c r="H38" s="206" t="str">
        <f t="shared" si="8"/>
        <v>G</v>
      </c>
      <c r="I38" s="206" t="str">
        <f t="shared" si="9"/>
        <v>/</v>
      </c>
      <c r="K38" s="161">
        <v>36</v>
      </c>
      <c r="L38" s="176" t="str">
        <f t="shared" si="10"/>
        <v>/</v>
      </c>
      <c r="M38" s="176" t="str">
        <f t="shared" si="11"/>
        <v>ㄥ</v>
      </c>
      <c r="O38" s="161">
        <v>36</v>
      </c>
      <c r="P38" s="175" t="str">
        <f t="shared" si="4"/>
        <v/>
      </c>
      <c r="Q38" s="175" t="str">
        <f t="shared" si="5"/>
        <v/>
      </c>
      <c r="S38" s="161">
        <v>36</v>
      </c>
      <c r="T38" s="164" t="str">
        <f t="shared" si="12"/>
        <v>/</v>
      </c>
      <c r="U38" s="178" t="str">
        <f t="shared" si="13"/>
        <v>G</v>
      </c>
      <c r="V38" s="178" t="str">
        <f xml:space="preserve"> IFERROR( INDEX($Z$3:$Z$44, MATCH(表格1_33710[[#This Row],[方音符號]], $Y$3:$Y$44, 0)), "")</f>
        <v>eng</v>
      </c>
      <c r="W38" s="164" t="str">
        <f xml:space="preserve"> INDEX($M$3:$M$57, MATCH(表格1_33710[[#This Row],[鍵盤位置]], $L$3:$L$57,0))</f>
        <v>ㄥ</v>
      </c>
      <c r="Y38" s="223" t="str">
        <f xml:space="preserve"> INDEX($M$3:$M$44, MATCH(表格1_33710[[#This Row],[鍵盤位置]], $L$3:$L$44,0))</f>
        <v>ㄥ</v>
      </c>
      <c r="Z38" s="226" t="s">
        <v>732</v>
      </c>
      <c r="AA38" s="225" t="s">
        <v>730</v>
      </c>
    </row>
    <row r="39" spans="7:27">
      <c r="G39" s="161" cm="1">
        <f t="array" ref="G39" xml:space="preserve"> ROW() - ROW($2:$2)</f>
        <v>37</v>
      </c>
      <c r="H39" s="206" t="str">
        <f t="shared" si="8"/>
        <v>R</v>
      </c>
      <c r="I39" s="206" t="str">
        <f t="shared" si="9"/>
        <v>-</v>
      </c>
      <c r="K39" s="161">
        <v>37</v>
      </c>
      <c r="L39" s="176" t="str">
        <f t="shared" si="10"/>
        <v>-</v>
      </c>
      <c r="M39" s="176" t="str">
        <f t="shared" si="11"/>
        <v>ㄦ</v>
      </c>
      <c r="O39" s="161">
        <v>37</v>
      </c>
      <c r="P39" s="175" t="str">
        <f t="shared" si="4"/>
        <v/>
      </c>
      <c r="Q39" s="175" t="str">
        <f t="shared" si="5"/>
        <v/>
      </c>
      <c r="S39" s="161">
        <v>37</v>
      </c>
      <c r="T39" s="164" t="str">
        <f t="shared" si="12"/>
        <v>-</v>
      </c>
      <c r="U39" s="178" t="str">
        <f t="shared" si="13"/>
        <v>R</v>
      </c>
      <c r="V39" s="178" t="str">
        <f xml:space="preserve"> IFERROR( INDEX($Z$3:$Z$44, MATCH(表格1_33710[[#This Row],[方音符號]], $Y$3:$Y$44, 0)), "")</f>
        <v>er</v>
      </c>
      <c r="W39" s="164" t="str">
        <f xml:space="preserve"> INDEX($M$3:$M$57, MATCH(表格1_33710[[#This Row],[鍵盤位置]], $L$3:$L$57,0))</f>
        <v>ㄦ</v>
      </c>
      <c r="Y39" s="223" t="str">
        <f xml:space="preserve"> INDEX($M$3:$M$44, MATCH(表格1_33710[[#This Row],[鍵盤位置]], $L$3:$L$44,0))</f>
        <v>ㄦ</v>
      </c>
      <c r="Z39" s="226" t="s">
        <v>728</v>
      </c>
      <c r="AA39" s="225" t="s">
        <v>726</v>
      </c>
    </row>
    <row r="40" spans="7:27">
      <c r="G40" s="161" cm="1">
        <f t="array" ref="G40" xml:space="preserve"> ROW() - ROW($2:$2)</f>
        <v>38</v>
      </c>
      <c r="H40" s="206" t="str">
        <f t="shared" si="8"/>
        <v>1</v>
      </c>
      <c r="I40" s="206" t="str">
        <f t="shared" si="9"/>
        <v xml:space="preserve"> </v>
      </c>
      <c r="K40" s="161">
        <v>38</v>
      </c>
      <c r="L40" s="176" t="str">
        <f t="shared" si="10"/>
        <v xml:space="preserve"> </v>
      </c>
      <c r="M40" s="176" t="str">
        <f t="shared" si="11"/>
        <v>ˉ</v>
      </c>
      <c r="O40" s="161">
        <v>38</v>
      </c>
      <c r="P40" s="175" t="str">
        <f t="shared" si="4"/>
        <v/>
      </c>
      <c r="Q40" s="175" t="str">
        <f t="shared" si="5"/>
        <v/>
      </c>
      <c r="S40" s="161">
        <v>38</v>
      </c>
      <c r="T40" s="164" t="str">
        <f t="shared" si="12"/>
        <v xml:space="preserve"> </v>
      </c>
      <c r="U40" s="178" t="str">
        <f t="shared" si="13"/>
        <v>1</v>
      </c>
      <c r="V40" s="178" t="str">
        <f xml:space="preserve"> IFERROR( INDEX($Z$3:$Z$44, MATCH(表格1_33710[[#This Row],[方音符號]], $Y$3:$Y$44, 0)), "")</f>
        <v>N/A</v>
      </c>
      <c r="W40" s="164" t="str">
        <f xml:space="preserve"> INDEX($M$3:$M$57, MATCH(表格1_33710[[#This Row],[鍵盤位置]], $L$3:$L$57,0))</f>
        <v>ˉ</v>
      </c>
      <c r="Y40" s="223" t="str">
        <f xml:space="preserve"> INDEX($M$3:$M$44, MATCH(表格1_33710[[#This Row],[鍵盤位置]], $L$3:$L$44,0))</f>
        <v>ˉ</v>
      </c>
      <c r="Z40" s="226" t="s">
        <v>733</v>
      </c>
      <c r="AA40" s="225"/>
    </row>
    <row r="41" spans="7:27">
      <c r="G41" s="161" cm="1">
        <f t="array" ref="G41" xml:space="preserve"> ROW() - ROW($2:$2)</f>
        <v>39</v>
      </c>
      <c r="H41" s="206" t="str">
        <f t="shared" si="8"/>
        <v>2</v>
      </c>
      <c r="I41" s="206" t="str">
        <f t="shared" si="9"/>
        <v>6</v>
      </c>
      <c r="K41" s="161">
        <v>39</v>
      </c>
      <c r="L41" s="176" t="str">
        <f t="shared" si="10"/>
        <v>6</v>
      </c>
      <c r="M41" s="176" t="str">
        <f t="shared" si="11"/>
        <v>ˊ</v>
      </c>
      <c r="O41" s="161">
        <v>39</v>
      </c>
      <c r="P41" s="175" t="str">
        <f t="shared" si="4"/>
        <v/>
      </c>
      <c r="Q41" s="175" t="str">
        <f t="shared" si="5"/>
        <v/>
      </c>
      <c r="S41" s="161">
        <v>39</v>
      </c>
      <c r="T41" s="164" t="str">
        <f t="shared" si="12"/>
        <v>6</v>
      </c>
      <c r="U41" s="178" t="str">
        <f t="shared" si="13"/>
        <v>2</v>
      </c>
      <c r="V41" s="178" t="str">
        <f xml:space="preserve"> IFERROR( INDEX($Z$3:$Z$44, MATCH(表格1_33710[[#This Row],[方音符號]], $Y$3:$Y$44, 0)), "")</f>
        <v>N/A</v>
      </c>
      <c r="W41" s="164" t="str">
        <f xml:space="preserve"> INDEX($M$3:$M$57, MATCH(表格1_33710[[#This Row],[鍵盤位置]], $L$3:$L$57,0))</f>
        <v>ˊ</v>
      </c>
      <c r="Y41" s="223" t="str">
        <f xml:space="preserve"> INDEX($M$3:$M$44, MATCH(表格1_33710[[#This Row],[鍵盤位置]], $L$3:$L$44,0))</f>
        <v>ˊ</v>
      </c>
      <c r="Z41" s="226" t="s">
        <v>733</v>
      </c>
      <c r="AA41" s="225"/>
    </row>
    <row r="42" spans="7:27">
      <c r="G42" s="161" cm="1">
        <f t="array" ref="G42" xml:space="preserve"> ROW() - ROW($2:$2)</f>
        <v>40</v>
      </c>
      <c r="H42" s="206" t="str">
        <f t="shared" si="8"/>
        <v>3</v>
      </c>
      <c r="I42" s="206" t="str">
        <f t="shared" si="9"/>
        <v>3</v>
      </c>
      <c r="K42" s="161">
        <v>40</v>
      </c>
      <c r="L42" s="176" t="str">
        <f t="shared" si="10"/>
        <v>3</v>
      </c>
      <c r="M42" s="176" t="str">
        <f t="shared" si="11"/>
        <v>ˇ</v>
      </c>
      <c r="O42" s="161">
        <v>40</v>
      </c>
      <c r="P42" s="175" t="str">
        <f t="shared" si="4"/>
        <v/>
      </c>
      <c r="Q42" s="175" t="str">
        <f t="shared" si="5"/>
        <v/>
      </c>
      <c r="S42" s="161">
        <v>40</v>
      </c>
      <c r="T42" s="164" t="str">
        <f t="shared" si="12"/>
        <v>3</v>
      </c>
      <c r="U42" s="178" t="str">
        <f t="shared" si="13"/>
        <v>3</v>
      </c>
      <c r="V42" s="178" t="str">
        <f xml:space="preserve"> IFERROR( INDEX($Z$3:$Z$44, MATCH(表格1_33710[[#This Row],[方音符號]], $Y$3:$Y$44, 0)), "")</f>
        <v>N/A</v>
      </c>
      <c r="W42" s="164" t="str">
        <f xml:space="preserve"> INDEX($M$3:$M$57, MATCH(表格1_33710[[#This Row],[鍵盤位置]], $L$3:$L$57,0))</f>
        <v>ˇ</v>
      </c>
      <c r="Y42" s="223" t="str">
        <f xml:space="preserve"> INDEX($M$3:$M$44, MATCH(表格1_33710[[#This Row],[鍵盤位置]], $L$3:$L$44,0))</f>
        <v>ˇ</v>
      </c>
      <c r="Z42" s="226" t="s">
        <v>733</v>
      </c>
      <c r="AA42" s="225"/>
    </row>
    <row r="43" spans="7:27">
      <c r="G43" s="161" cm="1">
        <f t="array" ref="G43" xml:space="preserve"> ROW() - ROW($2:$2)</f>
        <v>41</v>
      </c>
      <c r="H43" s="206" t="str">
        <f t="shared" si="8"/>
        <v>4</v>
      </c>
      <c r="I43" s="206" t="str">
        <f t="shared" si="9"/>
        <v>4</v>
      </c>
      <c r="K43" s="161">
        <v>41</v>
      </c>
      <c r="L43" s="176" t="str">
        <f t="shared" si="10"/>
        <v>4</v>
      </c>
      <c r="M43" s="176" t="str">
        <f t="shared" si="11"/>
        <v>ˋ</v>
      </c>
      <c r="O43" s="161">
        <v>41</v>
      </c>
      <c r="P43" s="175" t="str">
        <f t="shared" si="4"/>
        <v/>
      </c>
      <c r="Q43" s="175" t="str">
        <f t="shared" si="5"/>
        <v/>
      </c>
      <c r="S43" s="161">
        <v>41</v>
      </c>
      <c r="T43" s="164" t="str">
        <f t="shared" si="12"/>
        <v>4</v>
      </c>
      <c r="U43" s="178" t="str">
        <f t="shared" si="13"/>
        <v>4</v>
      </c>
      <c r="V43" s="178" t="str">
        <f xml:space="preserve"> IFERROR( INDEX($Z$3:$Z$44, MATCH(表格1_33710[[#This Row],[方音符號]], $Y$3:$Y$44, 0)), "")</f>
        <v>N/A</v>
      </c>
      <c r="W43" s="164" t="str">
        <f xml:space="preserve"> INDEX($M$3:$M$57, MATCH(表格1_33710[[#This Row],[鍵盤位置]], $L$3:$L$57,0))</f>
        <v>ˋ</v>
      </c>
      <c r="Y43" s="223" t="str">
        <f xml:space="preserve"> INDEX($M$3:$M$44, MATCH(表格1_33710[[#This Row],[鍵盤位置]], $L$3:$L$44,0))</f>
        <v>ˋ</v>
      </c>
      <c r="Z43" s="226" t="s">
        <v>733</v>
      </c>
      <c r="AA43" s="225"/>
    </row>
    <row r="44" spans="7:27">
      <c r="G44" s="161" cm="1">
        <f t="array" ref="G44" xml:space="preserve"> ROW() - ROW($2:$2)</f>
        <v>42</v>
      </c>
      <c r="H44" s="206" t="str">
        <f t="shared" si="8"/>
        <v>5</v>
      </c>
      <c r="I44" s="206" t="str">
        <f t="shared" si="9"/>
        <v>7</v>
      </c>
      <c r="K44" s="161">
        <v>42</v>
      </c>
      <c r="L44" s="176" t="str">
        <f t="shared" si="10"/>
        <v>7</v>
      </c>
      <c r="M44" s="176" t="str">
        <f t="shared" si="11"/>
        <v>˙</v>
      </c>
      <c r="O44" s="161">
        <v>42</v>
      </c>
      <c r="P44" s="175" t="str">
        <f t="shared" si="4"/>
        <v/>
      </c>
      <c r="Q44" s="175" t="str">
        <f t="shared" si="5"/>
        <v/>
      </c>
      <c r="S44" s="161">
        <v>42</v>
      </c>
      <c r="T44" s="164" t="str">
        <f t="shared" si="12"/>
        <v>7</v>
      </c>
      <c r="U44" s="178" t="str">
        <f t="shared" si="13"/>
        <v>5</v>
      </c>
      <c r="V44" s="178" t="str">
        <f xml:space="preserve"> IFERROR( INDEX($Z$3:$Z$44, MATCH(表格1_33710[[#This Row],[方音符號]], $Y$3:$Y$44, 0)), "")</f>
        <v>N/A</v>
      </c>
      <c r="W44" s="164" t="str">
        <f xml:space="preserve"> INDEX($M$3:$M$57, MATCH(表格1_33710[[#This Row],[鍵盤位置]], $L$3:$L$57,0))</f>
        <v>˙</v>
      </c>
      <c r="Y44" s="223" t="str">
        <f xml:space="preserve"> INDEX($M$3:$M$44, MATCH(表格1_33710[[#This Row],[鍵盤位置]], $L$3:$L$44,0))</f>
        <v>˙</v>
      </c>
      <c r="Z44" s="226" t="s">
        <v>733</v>
      </c>
      <c r="AA44" s="225"/>
    </row>
    <row r="45" spans="7:27">
      <c r="G45" s="161" cm="1">
        <f t="array" ref="G45" xml:space="preserve"> ROW() - ROW($2:$2)</f>
        <v>43</v>
      </c>
      <c r="H45" s="206" t="str">
        <f t="shared" si="8"/>
        <v/>
      </c>
      <c r="I45" s="206" t="str">
        <f t="shared" si="9"/>
        <v/>
      </c>
      <c r="K45" s="161">
        <v>43</v>
      </c>
      <c r="L45" s="176" t="str">
        <f t="shared" si="10"/>
        <v>'</v>
      </c>
      <c r="M45" s="176" t="str">
        <f t="shared" si="11"/>
        <v xml:space="preserve"> </v>
      </c>
      <c r="Q45" s="161"/>
      <c r="S45" s="161">
        <v>43</v>
      </c>
      <c r="T45" s="164" t="str">
        <f t="shared" si="12"/>
        <v/>
      </c>
      <c r="U45" s="178" t="str">
        <f t="shared" si="13"/>
        <v/>
      </c>
      <c r="V45" s="178" t="str">
        <f xml:space="preserve"> IFERROR( INDEX($Z$3:$Z$44, MATCH(表格1_33710[[#This Row],[方音符號]], $Y$3:$Y$44, 0)), "")</f>
        <v/>
      </c>
      <c r="W45" s="164" t="str">
        <f xml:space="preserve"> INDEX($M$3:$M$57, MATCH(表格1_33710[[#This Row],[鍵盤位置]], $L$3:$L$57,0))</f>
        <v/>
      </c>
    </row>
    <row r="46" spans="7:27">
      <c r="G46" s="161" cm="1">
        <f t="array" ref="G46" xml:space="preserve"> ROW() - ROW($2:$2)</f>
        <v>44</v>
      </c>
      <c r="H46" s="206" t="str">
        <f t="shared" si="8"/>
        <v/>
      </c>
      <c r="I46" s="206" t="str">
        <f t="shared" si="9"/>
        <v/>
      </c>
      <c r="K46" s="161">
        <v>44</v>
      </c>
      <c r="L46" s="176" t="str">
        <f t="shared" si="10"/>
        <v/>
      </c>
      <c r="M46" s="176" t="str">
        <f t="shared" si="11"/>
        <v/>
      </c>
      <c r="S46" s="161">
        <v>44</v>
      </c>
      <c r="T46" s="164" t="str">
        <f t="shared" si="12"/>
        <v/>
      </c>
      <c r="U46" s="178" t="str">
        <f t="shared" si="13"/>
        <v/>
      </c>
      <c r="V46" s="178" t="str">
        <f xml:space="preserve"> IFERROR( INDEX($Z$3:$Z$44, MATCH(表格1_33710[[#This Row],[方音符號]], $Y$3:$Y$44, 0)), "")</f>
        <v/>
      </c>
      <c r="W46" s="164" t="str">
        <f xml:space="preserve"> INDEX($M$3:$M$57, MATCH(表格1_33710[[#This Row],[鍵盤位置]], $L$3:$L$57,0))</f>
        <v/>
      </c>
    </row>
    <row r="47" spans="7:27">
      <c r="G47" s="161" cm="1">
        <f t="array" ref="G47" xml:space="preserve"> ROW() - ROW($2:$2)</f>
        <v>45</v>
      </c>
      <c r="H47" s="206" t="str">
        <f t="shared" si="8"/>
        <v/>
      </c>
      <c r="I47" s="206" t="str">
        <f t="shared" si="9"/>
        <v/>
      </c>
      <c r="K47" s="161">
        <v>45</v>
      </c>
      <c r="L47" s="176" t="str">
        <f t="shared" si="10"/>
        <v/>
      </c>
      <c r="M47" s="176" t="str">
        <f t="shared" si="11"/>
        <v/>
      </c>
      <c r="S47" s="161">
        <v>45</v>
      </c>
      <c r="T47" s="164" t="str">
        <f t="shared" si="12"/>
        <v/>
      </c>
      <c r="U47" s="178" t="str">
        <f t="shared" si="13"/>
        <v/>
      </c>
      <c r="V47" s="178" t="str">
        <f xml:space="preserve"> IFERROR( INDEX($Z$3:$Z$44, MATCH(表格1_33710[[#This Row],[方音符號]], $Y$3:$Y$44, 0)), "")</f>
        <v/>
      </c>
      <c r="W47" s="164" t="str">
        <f xml:space="preserve"> INDEX($M$3:$M$57, MATCH(表格1_33710[[#This Row],[鍵盤位置]], $L$3:$L$57,0))</f>
        <v/>
      </c>
    </row>
    <row r="48" spans="7:27">
      <c r="G48" s="161" cm="1">
        <f t="array" ref="G48" xml:space="preserve"> ROW() - ROW($2:$2)</f>
        <v>46</v>
      </c>
      <c r="H48" s="206" t="str">
        <f t="shared" si="8"/>
        <v/>
      </c>
      <c r="I48" s="206" t="str">
        <f t="shared" si="9"/>
        <v/>
      </c>
      <c r="K48" s="161">
        <v>46</v>
      </c>
      <c r="L48" s="176" t="str">
        <f t="shared" si="10"/>
        <v/>
      </c>
      <c r="M48" s="176" t="str">
        <f t="shared" si="11"/>
        <v/>
      </c>
      <c r="S48" s="161">
        <v>46</v>
      </c>
      <c r="T48" s="164" t="str">
        <f t="shared" si="12"/>
        <v/>
      </c>
      <c r="U48" s="178" t="str">
        <f t="shared" si="13"/>
        <v/>
      </c>
      <c r="V48" s="178" t="str">
        <f xml:space="preserve"> IFERROR( INDEX($Z$3:$Z$44, MATCH(表格1_33710[[#This Row],[方音符號]], $Y$3:$Y$44, 0)), "")</f>
        <v/>
      </c>
      <c r="W48" s="164" t="str">
        <f xml:space="preserve"> INDEX($M$3:$M$57, MATCH(表格1_33710[[#This Row],[鍵盤位置]], $L$3:$L$57,0))</f>
        <v/>
      </c>
    </row>
    <row r="49" spans="7:23">
      <c r="G49" s="161" cm="1">
        <f t="array" ref="G49" xml:space="preserve"> ROW() - ROW($2:$2)</f>
        <v>47</v>
      </c>
      <c r="H49" s="206" t="str">
        <f t="shared" si="8"/>
        <v/>
      </c>
      <c r="I49" s="206" t="str">
        <f t="shared" si="9"/>
        <v/>
      </c>
      <c r="K49" s="161">
        <v>47</v>
      </c>
      <c r="L49" s="176" t="str">
        <f t="shared" si="10"/>
        <v/>
      </c>
      <c r="M49" s="176" t="str">
        <f t="shared" si="11"/>
        <v/>
      </c>
      <c r="S49" s="161">
        <v>47</v>
      </c>
      <c r="T49" s="164" t="str">
        <f t="shared" si="12"/>
        <v/>
      </c>
      <c r="U49" s="178" t="str">
        <f t="shared" si="13"/>
        <v/>
      </c>
      <c r="V49" s="178" t="str">
        <f xml:space="preserve"> IFERROR( INDEX($Z$3:$Z$44, MATCH(表格1_33710[[#This Row],[方音符號]], $Y$3:$Y$44, 0)), "")</f>
        <v/>
      </c>
      <c r="W49" s="164" t="str">
        <f xml:space="preserve"> INDEX($M$3:$M$57, MATCH(表格1_33710[[#This Row],[鍵盤位置]], $L$3:$L$57,0))</f>
        <v/>
      </c>
    </row>
    <row r="50" spans="7:23">
      <c r="G50" s="161" cm="1">
        <f t="array" ref="G50" xml:space="preserve"> ROW() - ROW($2:$2)</f>
        <v>48</v>
      </c>
      <c r="H50" s="206" t="str">
        <f t="shared" si="8"/>
        <v/>
      </c>
      <c r="I50" s="206" t="str">
        <f t="shared" si="9"/>
        <v/>
      </c>
      <c r="K50" s="161">
        <v>48</v>
      </c>
      <c r="L50" s="176" t="str">
        <f t="shared" si="10"/>
        <v/>
      </c>
      <c r="M50" s="176" t="str">
        <f t="shared" si="11"/>
        <v/>
      </c>
      <c r="S50" s="161">
        <v>48</v>
      </c>
      <c r="T50" s="164" t="str">
        <f t="shared" si="12"/>
        <v/>
      </c>
      <c r="U50" s="178" t="str">
        <f t="shared" si="13"/>
        <v/>
      </c>
      <c r="V50" s="178" t="str">
        <f xml:space="preserve"> IFERROR( INDEX($Z$3:$Z$44, MATCH(表格1_33710[[#This Row],[方音符號]], $Y$3:$Y$44, 0)), "")</f>
        <v/>
      </c>
      <c r="W50" s="164" t="str">
        <f xml:space="preserve"> INDEX($M$3:$M$57, MATCH(表格1_33710[[#This Row],[鍵盤位置]], $L$3:$L$57,0))</f>
        <v/>
      </c>
    </row>
    <row r="51" spans="7:23">
      <c r="G51" s="161" cm="1">
        <f t="array" ref="G51" xml:space="preserve"> ROW() - ROW($2:$2)</f>
        <v>49</v>
      </c>
      <c r="H51" s="206" t="str">
        <f t="shared" si="8"/>
        <v/>
      </c>
      <c r="I51" s="206" t="str">
        <f t="shared" si="9"/>
        <v/>
      </c>
      <c r="K51" s="161">
        <v>49</v>
      </c>
      <c r="L51" s="176" t="str">
        <f t="shared" si="10"/>
        <v/>
      </c>
      <c r="M51" s="176" t="str">
        <f t="shared" si="11"/>
        <v/>
      </c>
      <c r="S51" s="161">
        <v>49</v>
      </c>
      <c r="T51" s="164" t="str">
        <f t="shared" si="12"/>
        <v/>
      </c>
      <c r="U51" s="178" t="str">
        <f t="shared" si="13"/>
        <v/>
      </c>
      <c r="V51" s="178" t="str">
        <f xml:space="preserve"> IFERROR( INDEX($Z$3:$Z$44, MATCH(表格1_33710[[#This Row],[方音符號]], $Y$3:$Y$44, 0)), "")</f>
        <v/>
      </c>
      <c r="W51" s="164" t="str">
        <f xml:space="preserve"> INDEX($M$3:$M$57, MATCH(表格1_33710[[#This Row],[鍵盤位置]], $L$3:$L$57,0))</f>
        <v/>
      </c>
    </row>
    <row r="52" spans="7:23">
      <c r="G52" s="161" cm="1">
        <f t="array" ref="G52" xml:space="preserve"> ROW() - ROW($2:$2)</f>
        <v>50</v>
      </c>
      <c r="H52" s="206" t="str">
        <f t="shared" si="8"/>
        <v/>
      </c>
      <c r="I52" s="206" t="str">
        <f t="shared" si="9"/>
        <v/>
      </c>
      <c r="K52" s="161">
        <v>50</v>
      </c>
      <c r="L52" s="176" t="str">
        <f t="shared" si="10"/>
        <v/>
      </c>
      <c r="M52" s="176" t="str">
        <f t="shared" si="11"/>
        <v/>
      </c>
      <c r="S52" s="161">
        <v>50</v>
      </c>
      <c r="T52" s="164" t="str">
        <f t="shared" si="12"/>
        <v/>
      </c>
      <c r="U52" s="178" t="str">
        <f t="shared" si="13"/>
        <v/>
      </c>
      <c r="V52" s="178" t="str">
        <f xml:space="preserve"> IFERROR( INDEX($Z$3:$Z$44, MATCH(表格1_33710[[#This Row],[方音符號]], $Y$3:$Y$44, 0)), "")</f>
        <v/>
      </c>
      <c r="W52" s="164" t="str">
        <f xml:space="preserve"> INDEX($M$3:$M$57, MATCH(表格1_33710[[#This Row],[鍵盤位置]], $L$3:$L$57,0))</f>
        <v/>
      </c>
    </row>
    <row r="53" spans="7:23">
      <c r="G53" s="161" cm="1">
        <f t="array" ref="G53" xml:space="preserve"> ROW() - ROW($2:$2)</f>
        <v>51</v>
      </c>
      <c r="H53" s="206" t="str">
        <f t="shared" si="8"/>
        <v/>
      </c>
      <c r="I53" s="206" t="str">
        <f t="shared" si="9"/>
        <v/>
      </c>
      <c r="K53" s="161">
        <v>51</v>
      </c>
      <c r="L53" s="176" t="str">
        <f t="shared" si="10"/>
        <v/>
      </c>
      <c r="M53" s="176" t="str">
        <f t="shared" si="11"/>
        <v/>
      </c>
      <c r="S53" s="161">
        <v>51</v>
      </c>
      <c r="T53" s="164" t="str">
        <f t="shared" si="12"/>
        <v/>
      </c>
      <c r="U53" s="178" t="str">
        <f t="shared" si="13"/>
        <v/>
      </c>
      <c r="V53" s="178" t="str">
        <f xml:space="preserve"> IFERROR( INDEX($Z$3:$Z$44, MATCH(表格1_33710[[#This Row],[方音符號]], $Y$3:$Y$44, 0)), "")</f>
        <v/>
      </c>
      <c r="W53" s="164" t="str">
        <f xml:space="preserve"> INDEX($M$3:$M$57, MATCH(表格1_33710[[#This Row],[鍵盤位置]], $L$3:$L$57,0))</f>
        <v/>
      </c>
    </row>
    <row r="54" spans="7:23">
      <c r="G54" s="161" cm="1">
        <f t="array" ref="G54" xml:space="preserve"> ROW() - ROW($2:$2)</f>
        <v>52</v>
      </c>
      <c r="H54" s="206" t="str">
        <f t="shared" si="8"/>
        <v/>
      </c>
      <c r="I54" s="206" t="str">
        <f t="shared" si="9"/>
        <v/>
      </c>
      <c r="K54" s="161">
        <v>52</v>
      </c>
      <c r="L54" s="176" t="str">
        <f t="shared" si="10"/>
        <v/>
      </c>
      <c r="M54" s="176" t="str">
        <f t="shared" si="11"/>
        <v/>
      </c>
      <c r="S54" s="161">
        <v>52</v>
      </c>
      <c r="T54" s="164" t="str">
        <f t="shared" si="12"/>
        <v/>
      </c>
      <c r="U54" s="178" t="str">
        <f t="shared" si="13"/>
        <v/>
      </c>
      <c r="V54" s="178" t="str">
        <f xml:space="preserve"> IFERROR( INDEX($Z$3:$Z$44, MATCH(表格1_33710[[#This Row],[方音符號]], $Y$3:$Y$44, 0)), "")</f>
        <v/>
      </c>
      <c r="W54" s="164" t="str">
        <f xml:space="preserve"> INDEX($M$3:$M$57, MATCH(表格1_33710[[#This Row],[鍵盤位置]], $L$3:$L$57,0))</f>
        <v/>
      </c>
    </row>
    <row r="55" spans="7:23">
      <c r="G55" s="161" cm="1">
        <f t="array" ref="G55" xml:space="preserve"> ROW() - ROW($2:$2)</f>
        <v>53</v>
      </c>
      <c r="H55" s="206" t="str">
        <f t="shared" si="8"/>
        <v/>
      </c>
      <c r="I55" s="206" t="str">
        <f t="shared" si="9"/>
        <v/>
      </c>
      <c r="K55" s="161">
        <v>53</v>
      </c>
      <c r="L55" s="176" t="str">
        <f t="shared" si="10"/>
        <v/>
      </c>
      <c r="M55" s="176" t="str">
        <f t="shared" si="11"/>
        <v/>
      </c>
      <c r="S55" s="161">
        <v>53</v>
      </c>
      <c r="T55" s="164" t="str">
        <f t="shared" si="12"/>
        <v/>
      </c>
      <c r="U55" s="178" t="str">
        <f t="shared" si="13"/>
        <v/>
      </c>
      <c r="V55" s="178" t="str">
        <f xml:space="preserve"> IFERROR( INDEX($Z$3:$Z$44, MATCH(表格1_33710[[#This Row],[方音符號]], $Y$3:$Y$44, 0)), "")</f>
        <v/>
      </c>
      <c r="W55" s="164" t="str">
        <f xml:space="preserve"> INDEX($M$3:$M$57, MATCH(表格1_33710[[#This Row],[鍵盤位置]], $L$3:$L$57,0))</f>
        <v/>
      </c>
    </row>
    <row r="56" spans="7:23">
      <c r="G56" s="161" cm="1">
        <f t="array" ref="G56" xml:space="preserve"> ROW() - ROW($2:$2)</f>
        <v>54</v>
      </c>
      <c r="H56" s="206" t="str">
        <f t="shared" si="8"/>
        <v/>
      </c>
      <c r="I56" s="206" t="str">
        <f t="shared" si="9"/>
        <v/>
      </c>
      <c r="K56" s="161">
        <v>54</v>
      </c>
      <c r="L56" s="176" t="str">
        <f t="shared" si="10"/>
        <v/>
      </c>
      <c r="M56" s="176" t="str">
        <f t="shared" si="11"/>
        <v/>
      </c>
      <c r="S56" s="161">
        <v>54</v>
      </c>
      <c r="T56" s="164" t="str">
        <f t="shared" si="12"/>
        <v/>
      </c>
      <c r="U56" s="178" t="str">
        <f t="shared" si="13"/>
        <v/>
      </c>
      <c r="V56" s="178" t="str">
        <f xml:space="preserve"> IFERROR( INDEX($Z$3:$Z$44, MATCH(表格1_33710[[#This Row],[方音符號]], $Y$3:$Y$44, 0)), "")</f>
        <v/>
      </c>
      <c r="W56" s="164" t="str">
        <f xml:space="preserve"> INDEX($M$3:$M$57, MATCH(表格1_33710[[#This Row],[鍵盤位置]], $L$3:$L$57,0))</f>
        <v/>
      </c>
    </row>
    <row r="57" spans="7:23">
      <c r="G57" s="161" cm="1">
        <f t="array" ref="G57" xml:space="preserve"> ROW() - ROW($2:$2)</f>
        <v>55</v>
      </c>
      <c r="H57" s="206" t="str">
        <f t="shared" si="8"/>
        <v/>
      </c>
      <c r="I57" s="206" t="str">
        <f t="shared" si="9"/>
        <v/>
      </c>
      <c r="K57" s="161">
        <v>55</v>
      </c>
      <c r="L57" s="176" t="str">
        <f t="shared" si="10"/>
        <v/>
      </c>
      <c r="M57" s="176" t="str">
        <f t="shared" si="11"/>
        <v/>
      </c>
      <c r="S57" s="161">
        <v>55</v>
      </c>
      <c r="T57" s="164" t="str">
        <f t="shared" si="12"/>
        <v/>
      </c>
      <c r="U57" s="178" t="str">
        <f t="shared" si="13"/>
        <v/>
      </c>
      <c r="V57" s="178" t="str">
        <f xml:space="preserve"> IFERROR( INDEX($Z$3:$Z$44, MATCH(表格1_33710[[#This Row],[方音符號]], $Y$3:$Y$44, 0)), "")</f>
        <v/>
      </c>
      <c r="W57" s="164" t="str">
        <f xml:space="preserve"> INDEX($M$3:$M$57, MATCH(表格1_33710[[#This Row],[鍵盤位置]], $L$3:$L$57,0))</f>
        <v/>
      </c>
    </row>
    <row r="58" spans="7:23">
      <c r="T58" s="164"/>
      <c r="U58" s="178"/>
      <c r="V58" s="178"/>
      <c r="W58" s="164"/>
    </row>
    <row r="59" spans="7:23">
      <c r="T59" s="164"/>
      <c r="U59" s="178"/>
      <c r="V59" s="178"/>
      <c r="W59" s="164"/>
    </row>
    <row r="60" spans="7:23">
      <c r="T60" s="164"/>
      <c r="U60" s="178"/>
      <c r="V60" s="178"/>
      <c r="W60" s="164"/>
    </row>
    <row r="61" spans="7:23">
      <c r="T61" s="164"/>
      <c r="U61" s="178"/>
      <c r="V61" s="178"/>
      <c r="W61" s="164"/>
    </row>
    <row r="62" spans="7:23">
      <c r="T62" s="164"/>
      <c r="U62" s="178"/>
      <c r="V62" s="178"/>
      <c r="W62" s="164"/>
    </row>
    <row r="63" spans="7:23">
      <c r="T63" s="164"/>
      <c r="U63" s="178"/>
      <c r="V63" s="178"/>
      <c r="W63" s="164"/>
    </row>
    <row r="64" spans="7:23">
      <c r="T64" s="164"/>
      <c r="U64" s="178"/>
      <c r="V64" s="178"/>
      <c r="W64" s="164"/>
    </row>
    <row r="65" spans="20:23">
      <c r="T65" s="164"/>
      <c r="U65" s="178"/>
      <c r="V65" s="178"/>
      <c r="W65" s="164"/>
    </row>
    <row r="66" spans="20:23">
      <c r="T66" s="164"/>
      <c r="U66" s="178"/>
      <c r="V66" s="178"/>
      <c r="W66" s="164"/>
    </row>
    <row r="67" spans="20:23">
      <c r="T67" s="164"/>
      <c r="U67" s="178"/>
      <c r="V67" s="178"/>
      <c r="W67" s="164"/>
    </row>
    <row r="68" spans="20:23">
      <c r="T68" s="164"/>
      <c r="U68" s="178"/>
      <c r="V68" s="178"/>
      <c r="W68" s="164"/>
    </row>
    <row r="69" spans="20:23">
      <c r="T69" s="164"/>
      <c r="U69" s="178"/>
      <c r="V69" s="178"/>
      <c r="W69" s="164"/>
    </row>
    <row r="70" spans="20:23">
      <c r="T70" s="164"/>
      <c r="U70" s="178"/>
      <c r="V70" s="178"/>
      <c r="W70" s="164"/>
    </row>
    <row r="72" spans="20:23">
      <c r="U72" s="161" t="str">
        <f xml:space="preserve"> _xlfn.CONCAT(按鍵編碼)</f>
        <v>bpmfdtnlgkhjqxZCSrzcsiuvaoeEAIOUMNKGR12345</v>
      </c>
    </row>
    <row r="73" spans="20:23">
      <c r="U73" s="161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27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27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45" customWidth="1"/>
    <col min="62" max="62" width="20.8984375" style="345" customWidth="1"/>
    <col min="63" max="63" width="16.69921875" style="347" customWidth="1"/>
    <col min="64" max="65" width="11.8984375" style="345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38"/>
      <c r="AU1" s="38"/>
    </row>
    <row r="2" spans="1:65" s="3" customFormat="1" ht="40.5" customHeight="1">
      <c r="A2" s="22"/>
      <c r="B2" s="25" t="s">
        <v>103</v>
      </c>
      <c r="C2" s="26"/>
      <c r="D2" s="24" cm="1">
        <f t="array" ref="D2" xml:space="preserve"> COLUMN() - COLUMN($C:$C)</f>
        <v>1</v>
      </c>
      <c r="E2" s="24" cm="1">
        <f t="array" ref="E2" xml:space="preserve"> COLUMN() - COLUMN($C:$C)</f>
        <v>2</v>
      </c>
      <c r="F2" s="24" cm="1">
        <f t="array" ref="F2" xml:space="preserve"> COLUMN() - COLUMN($C:$C)</f>
        <v>3</v>
      </c>
      <c r="G2" s="55" cm="1">
        <f t="array" ref="G2" xml:space="preserve"> COLUMN() - COLUMN($C:$C)</f>
        <v>4</v>
      </c>
      <c r="H2" s="55" cm="1">
        <f t="array" ref="H2" xml:space="preserve"> COLUMN() - COLUMN($C:$C)</f>
        <v>5</v>
      </c>
      <c r="I2" s="55" cm="1">
        <f t="array" ref="I2" xml:space="preserve"> COLUMN() - COLUMN($C:$C)</f>
        <v>6</v>
      </c>
      <c r="J2" s="55" cm="1">
        <f t="array" ref="J2" xml:space="preserve"> COLUMN() - COLUMN($C:$C)</f>
        <v>7</v>
      </c>
      <c r="K2" s="24" cm="1">
        <f t="array" ref="K2" xml:space="preserve"> COLUMN() - COLUMN($C:$C)</f>
        <v>8</v>
      </c>
      <c r="L2" s="24" cm="1">
        <f t="array" ref="L2" xml:space="preserve"> COLUMN() - COLUMN($C:$C)</f>
        <v>9</v>
      </c>
      <c r="M2" s="24" cm="1">
        <f t="array" ref="M2" xml:space="preserve"> COLUMN() - COLUMN($C:$C)</f>
        <v>10</v>
      </c>
      <c r="N2" s="55" cm="1">
        <f t="array" ref="N2" xml:space="preserve"> COLUMN() - COLUMN($C:$C)</f>
        <v>11</v>
      </c>
      <c r="O2" s="24" cm="1">
        <f t="array" ref="O2" xml:space="preserve"> COLUMN() - COLUMN($C:$C)</f>
        <v>12</v>
      </c>
      <c r="P2" s="55" cm="1">
        <f t="array" ref="P2" xml:space="preserve"> COLUMN() - COLUMN($C:$C)</f>
        <v>13</v>
      </c>
      <c r="Q2" s="55" cm="1">
        <f t="array" ref="Q2" xml:space="preserve"> COLUMN() - COLUMN($C:$C)</f>
        <v>14</v>
      </c>
      <c r="R2" s="55" cm="1">
        <f t="array" ref="R2" xml:space="preserve"> COLUMN() - COLUMN($C:$C)</f>
        <v>15</v>
      </c>
      <c r="S2" s="55" cm="1">
        <f t="array" ref="S2" xml:space="preserve"> COLUMN() - COLUMN($C:$C)</f>
        <v>16</v>
      </c>
      <c r="T2" s="24" cm="1">
        <f t="array" ref="T2" xml:space="preserve"> COLUMN() - COLUMN($C:$C)</f>
        <v>17</v>
      </c>
      <c r="U2" s="24" cm="1">
        <f t="array" ref="U2" xml:space="preserve"> COLUMN() - COLUMN($C:$C)</f>
        <v>18</v>
      </c>
      <c r="V2" s="24" cm="1">
        <f t="array" ref="V2" xml:space="preserve"> COLUMN() - COLUMN($C:$C)</f>
        <v>19</v>
      </c>
      <c r="W2" s="24" cm="1">
        <f t="array" ref="W2" xml:space="preserve"> COLUMN() - COLUMN($C:$C)</f>
        <v>20</v>
      </c>
      <c r="X2" s="24" cm="1">
        <f t="array" ref="X2" xml:space="preserve"> COLUMN() - COLUMN($C:$C)</f>
        <v>21</v>
      </c>
      <c r="Y2" s="24" cm="1">
        <f t="array" ref="Y2" xml:space="preserve"> COLUMN() - COLUMN($C:$C)</f>
        <v>22</v>
      </c>
      <c r="Z2" s="24" cm="1">
        <f t="array" ref="Z2" xml:space="preserve"> COLUMN() - COLUMN($C:$C)</f>
        <v>23</v>
      </c>
      <c r="AA2" s="24" cm="1">
        <f t="array" ref="AA2" xml:space="preserve"> COLUMN() - COLUMN($C:$C)</f>
        <v>24</v>
      </c>
      <c r="AB2" s="24" cm="1">
        <f t="array" ref="AB2" xml:space="preserve"> COLUMN() - COLUMN($C:$C)</f>
        <v>25</v>
      </c>
      <c r="AC2" s="24" cm="1">
        <f t="array" ref="AC2" xml:space="preserve"> COLUMN() - COLUMN($C:$C)</f>
        <v>26</v>
      </c>
      <c r="AD2" s="24" cm="1">
        <f t="array" ref="AD2" xml:space="preserve"> COLUMN() - COLUMN($C:$C)</f>
        <v>27</v>
      </c>
      <c r="AE2" s="24" cm="1">
        <f t="array" ref="AE2" xml:space="preserve"> COLUMN() - COLUMN($C:$C)</f>
        <v>28</v>
      </c>
      <c r="AF2" s="24" cm="1">
        <f t="array" ref="AF2" xml:space="preserve"> COLUMN() - COLUMN($C:$C)</f>
        <v>29</v>
      </c>
      <c r="AG2" s="24" cm="1">
        <f t="array" ref="AG2" xml:space="preserve"> COLUMN() - COLUMN($C:$C)</f>
        <v>30</v>
      </c>
      <c r="AH2" s="24" cm="1">
        <f t="array" ref="AH2" xml:space="preserve"> COLUMN() - COLUMN($C:$C)</f>
        <v>31</v>
      </c>
      <c r="AI2" s="24" cm="1">
        <f t="array" ref="AI2" xml:space="preserve"> COLUMN() - COLUMN($C:$C)</f>
        <v>32</v>
      </c>
      <c r="AJ2" s="24" cm="1">
        <f t="array" ref="AJ2" xml:space="preserve"> COLUMN() - COLUMN($C:$C)</f>
        <v>33</v>
      </c>
      <c r="AK2" s="24" cm="1">
        <f t="array" ref="AK2" xml:space="preserve"> COLUMN() - COLUMN($C:$C)</f>
        <v>34</v>
      </c>
      <c r="AL2" s="24" cm="1">
        <f t="array" ref="AL2" xml:space="preserve"> COLUMN() - COLUMN($C:$C)</f>
        <v>35</v>
      </c>
      <c r="AM2" s="24" cm="1">
        <f t="array" ref="AM2" xml:space="preserve"> COLUMN() - COLUMN($C:$C)</f>
        <v>36</v>
      </c>
      <c r="AN2" s="24" cm="1">
        <f t="array" ref="AN2" xml:space="preserve"> COLUMN() - COLUMN($C:$C)</f>
        <v>37</v>
      </c>
      <c r="AO2" s="24" cm="1">
        <f t="array" ref="AO2" xml:space="preserve"> COLUMN() - COLUMN($C:$C)</f>
        <v>38</v>
      </c>
      <c r="AP2" s="24" cm="1">
        <f t="array" ref="AP2" xml:space="preserve"> COLUMN() - COLUMN($C:$C)</f>
        <v>39</v>
      </c>
      <c r="AQ2" s="24" cm="1">
        <f t="array" ref="AQ2" xml:space="preserve"> COLUMN() - COLUMN($C:$C)</f>
        <v>40</v>
      </c>
      <c r="AR2" s="24" cm="1">
        <f t="array" ref="AR2" xml:space="preserve"> COLUMN() - COLUMN($C:$C)</f>
        <v>41</v>
      </c>
      <c r="AS2" s="24" cm="1">
        <f t="array" ref="AS2" xml:space="preserve"> COLUMN() - COLUMN($C:$C)</f>
        <v>42</v>
      </c>
      <c r="AV2"/>
      <c r="AY2"/>
      <c r="AZ2"/>
      <c r="BA2"/>
      <c r="BB2"/>
      <c r="BI2" s="345"/>
      <c r="BJ2" s="345"/>
      <c r="BK2" s="347"/>
      <c r="BL2" s="345"/>
      <c r="BM2" s="345"/>
    </row>
    <row r="3" spans="1:65" ht="40.5" customHeight="1">
      <c r="A3" s="10"/>
      <c r="B3" s="29" t="s">
        <v>230</v>
      </c>
      <c r="C3" s="30"/>
      <c r="D3" s="312" t="s">
        <v>168</v>
      </c>
      <c r="E3" s="312" t="s">
        <v>164</v>
      </c>
      <c r="F3" s="312" t="s">
        <v>21</v>
      </c>
      <c r="G3" s="312" t="s">
        <v>165</v>
      </c>
      <c r="H3" s="312" t="s">
        <v>169</v>
      </c>
      <c r="I3" s="312" t="s">
        <v>170</v>
      </c>
      <c r="J3" s="312" t="s">
        <v>99</v>
      </c>
      <c r="K3" s="312" t="s">
        <v>171</v>
      </c>
      <c r="L3" s="312" t="s">
        <v>53</v>
      </c>
      <c r="M3" s="312" t="s">
        <v>163</v>
      </c>
      <c r="N3" s="312" t="s">
        <v>166</v>
      </c>
      <c r="O3" s="312" t="s">
        <v>172</v>
      </c>
      <c r="P3" s="312" t="s">
        <v>173</v>
      </c>
      <c r="Q3" s="312" t="s">
        <v>174</v>
      </c>
      <c r="R3" s="312" t="s">
        <v>189</v>
      </c>
      <c r="S3" s="312" t="s">
        <v>11</v>
      </c>
      <c r="T3" s="312" t="s">
        <v>45</v>
      </c>
      <c r="U3" s="312" t="s">
        <v>91</v>
      </c>
      <c r="V3" s="312" t="s">
        <v>175</v>
      </c>
      <c r="W3" s="312" t="s">
        <v>95</v>
      </c>
      <c r="X3" s="312" t="s">
        <v>68</v>
      </c>
      <c r="Y3" s="312" t="s">
        <v>77</v>
      </c>
      <c r="Z3" s="312" t="s">
        <v>97</v>
      </c>
      <c r="AA3" s="312" t="s">
        <v>66</v>
      </c>
      <c r="AB3" s="312" t="s">
        <v>176</v>
      </c>
      <c r="AC3" s="312" t="s">
        <v>49</v>
      </c>
      <c r="AD3" s="312" t="s">
        <v>42</v>
      </c>
      <c r="AE3" s="312" t="s">
        <v>180</v>
      </c>
      <c r="AF3" s="312" t="s">
        <v>178</v>
      </c>
      <c r="AG3" s="312" t="s">
        <v>79</v>
      </c>
      <c r="AH3" s="312" t="s">
        <v>93</v>
      </c>
      <c r="AI3" s="312" t="s">
        <v>578</v>
      </c>
      <c r="AJ3" s="312" t="s">
        <v>182</v>
      </c>
      <c r="AK3" s="312" t="s">
        <v>9</v>
      </c>
      <c r="AL3" s="312" t="s">
        <v>183</v>
      </c>
      <c r="AM3" s="312" t="s">
        <v>184</v>
      </c>
      <c r="AN3" s="312" t="s">
        <v>185</v>
      </c>
      <c r="AO3" s="312" t="s">
        <v>118</v>
      </c>
      <c r="AP3" s="312" t="s">
        <v>188</v>
      </c>
      <c r="AQ3" s="312" t="s">
        <v>187</v>
      </c>
      <c r="AR3" s="312" t="s">
        <v>186</v>
      </c>
      <c r="AS3" s="312" t="s">
        <v>190</v>
      </c>
    </row>
    <row r="4" spans="1:65" s="3" customFormat="1" ht="40.5" customHeight="1">
      <c r="A4" s="10"/>
      <c r="B4" s="47" t="s">
        <v>104</v>
      </c>
      <c r="C4" s="48"/>
      <c r="D4" s="155" t="str" cm="1">
        <f t="array" aca="1" ref="D4" ca="1" xml:space="preserve"> INDIRECT( ADDRESS( 8 + D$2, COLUMN($AZ:$AZ)))</f>
        <v>ㄅ</v>
      </c>
      <c r="E4" s="155" t="str" cm="1">
        <f t="array" aca="1" ref="E4" ca="1" xml:space="preserve"> INDIRECT( ADDRESS( 8 + E$2, COLUMN($AZ:$AZ)))</f>
        <v>ㄆ</v>
      </c>
      <c r="F4" s="155" t="str" cm="1">
        <f t="array" aca="1" ref="F4" ca="1" xml:space="preserve"> INDIRECT( ADDRESS( 8 + F$2, COLUMN($AZ:$AZ)))</f>
        <v>ㄇ</v>
      </c>
      <c r="G4" s="155" t="str" cm="1">
        <f t="array" aca="1" ref="G4" ca="1" xml:space="preserve"> INDIRECT( ADDRESS( 8 + G$2, COLUMN($AZ:$AZ)))</f>
        <v>ㄈ</v>
      </c>
      <c r="H4" s="155" t="str" cm="1">
        <f t="array" aca="1" ref="H4" ca="1" xml:space="preserve"> INDIRECT( ADDRESS( 8 + H$2, COLUMN($AZ:$AZ)))</f>
        <v>ㄉ</v>
      </c>
      <c r="I4" s="155" t="str" cm="1">
        <f t="array" aca="1" ref="I4" ca="1" xml:space="preserve"> INDIRECT( ADDRESS( 8 + I$2, COLUMN($AZ:$AZ)))</f>
        <v>ㄊ</v>
      </c>
      <c r="J4" s="155" t="str" cm="1">
        <f t="array" aca="1" ref="J4" ca="1" xml:space="preserve"> INDIRECT( ADDRESS( 8 + J$2, COLUMN($AZ:$AZ)))</f>
        <v>ㄋ</v>
      </c>
      <c r="K4" s="155" t="str" cm="1">
        <f t="array" aca="1" ref="K4" ca="1" xml:space="preserve"> INDIRECT( ADDRESS( 8 + K$2, COLUMN($AZ:$AZ)))</f>
        <v>ㄌ</v>
      </c>
      <c r="L4" s="155" t="str" cm="1">
        <f t="array" aca="1" ref="L4" ca="1" xml:space="preserve"> INDIRECT( ADDRESS( 8 + L$2, COLUMN($AZ:$AZ)))</f>
        <v>ㄍ</v>
      </c>
      <c r="M4" s="155" t="str" cm="1">
        <f t="array" aca="1" ref="M4" ca="1" xml:space="preserve"> INDIRECT( ADDRESS( 8 + M$2, COLUMN($AZ:$AZ)))</f>
        <v>ㄎ</v>
      </c>
      <c r="N4" s="155" t="str" cm="1">
        <f t="array" aca="1" ref="N4" ca="1" xml:space="preserve"> INDIRECT( ADDRESS( 8 + N$2, COLUMN($AZ:$AZ)))</f>
        <v>ㄏ</v>
      </c>
      <c r="O4" s="155" t="str" cm="1">
        <f t="array" aca="1" ref="O4" ca="1" xml:space="preserve"> INDIRECT( ADDRESS( 8 + O$2, COLUMN($AZ:$AZ)))</f>
        <v>ㄐ</v>
      </c>
      <c r="P4" s="155" t="str" cm="1">
        <f t="array" aca="1" ref="P4" ca="1" xml:space="preserve"> INDIRECT( ADDRESS( 8 + P$2, COLUMN($AZ:$AZ)))</f>
        <v>ㄑ</v>
      </c>
      <c r="Q4" s="155" t="str" cm="1">
        <f t="array" aca="1" ref="Q4" ca="1" xml:space="preserve"> INDIRECT( ADDRESS( 8 + Q$2, COLUMN($AZ:$AZ)))</f>
        <v>ㄒ</v>
      </c>
      <c r="R4" s="155" t="str" cm="1">
        <f t="array" aca="1" ref="R4" ca="1" xml:space="preserve"> INDIRECT( ADDRESS( 8 + R$2, COLUMN($AZ:$AZ)))</f>
        <v>ㄓ</v>
      </c>
      <c r="S4" s="155" t="str" cm="1">
        <f t="array" aca="1" ref="S4" ca="1" xml:space="preserve"> INDIRECT( ADDRESS( 8 + S$2, COLUMN($AZ:$AZ)))</f>
        <v>ㄔ</v>
      </c>
      <c r="T4" s="155" t="str" cm="1">
        <f t="array" aca="1" ref="T4" ca="1" xml:space="preserve"> INDIRECT( ADDRESS( 8 + T$2, COLUMN($AZ:$AZ)))</f>
        <v>ㄕ</v>
      </c>
      <c r="U4" s="155" t="str" cm="1">
        <f t="array" aca="1" ref="U4" ca="1" xml:space="preserve"> INDIRECT( ADDRESS( 8 + U$2, COLUMN($AZ:$AZ)))</f>
        <v>ㄖ</v>
      </c>
      <c r="V4" s="155" t="str" cm="1">
        <f t="array" aca="1" ref="V4" ca="1" xml:space="preserve"> INDIRECT( ADDRESS( 8 + V$2, COLUMN($AZ:$AZ)))</f>
        <v>ㄗ</v>
      </c>
      <c r="W4" s="155" t="str" cm="1">
        <f t="array" aca="1" ref="W4" ca="1" xml:space="preserve"> INDIRECT( ADDRESS( 8 + W$2, COLUMN($AZ:$AZ)))</f>
        <v>ㄘ</v>
      </c>
      <c r="X4" s="155" t="str" cm="1">
        <f t="array" aca="1" ref="X4" ca="1" xml:space="preserve"> INDIRECT( ADDRESS( 8 + X$2, COLUMN($AZ:$AZ)))</f>
        <v>ㄙ</v>
      </c>
      <c r="Y4" s="155" t="str" cm="1">
        <f t="array" aca="1" ref="Y4" ca="1" xml:space="preserve"> INDIRECT( ADDRESS( 8 + Y$2, COLUMN($AZ:$AZ)))</f>
        <v>ㄧ</v>
      </c>
      <c r="Z4" s="155" t="str" cm="1">
        <f t="array" aca="1" ref="Z4" ca="1" xml:space="preserve"> INDIRECT( ADDRESS( 8 + Z$2, COLUMN($AZ:$AZ)))</f>
        <v>ㄨ</v>
      </c>
      <c r="AA4" s="155" t="str" cm="1">
        <f t="array" aca="1" ref="AA4" ca="1" xml:space="preserve"> INDIRECT( ADDRESS( 8 + AA$2, COLUMN($AZ:$AZ)))</f>
        <v>ㄩ</v>
      </c>
      <c r="AB4" s="155" t="str" cm="1">
        <f t="array" aca="1" ref="AB4" ca="1" xml:space="preserve"> INDIRECT( ADDRESS( 8 + AB$2, COLUMN($AZ:$AZ)))</f>
        <v>ㄚ</v>
      </c>
      <c r="AC4" s="155" t="str" cm="1">
        <f t="array" aca="1" ref="AC4" ca="1" xml:space="preserve"> INDIRECT( ADDRESS( 8 + AC$2, COLUMN($AZ:$AZ)))</f>
        <v>ㄛ</v>
      </c>
      <c r="AD4" s="155" t="str" cm="1">
        <f t="array" aca="1" ref="AD4" ca="1" xml:space="preserve"> INDIRECT( ADDRESS( 8 + AD$2, COLUMN($AZ:$AZ)))</f>
        <v>ㄜ</v>
      </c>
      <c r="AE4" s="155" t="str" cm="1">
        <f t="array" aca="1" ref="AE4" ca="1" xml:space="preserve"> INDIRECT( ADDRESS( 8 + AE$2, COLUMN($AZ:$AZ)))</f>
        <v>ㄝ</v>
      </c>
      <c r="AF4" s="155" t="str" cm="1">
        <f t="array" aca="1" ref="AF4" ca="1" xml:space="preserve"> INDIRECT( ADDRESS( 8 + AF$2, COLUMN($AZ:$AZ)))</f>
        <v>ㄞ</v>
      </c>
      <c r="AG4" s="155" t="str" cm="1">
        <f t="array" aca="1" ref="AG4" ca="1" xml:space="preserve"> INDIRECT( ADDRESS( 8 + AG$2, COLUMN($AZ:$AZ)))</f>
        <v>ㄟ</v>
      </c>
      <c r="AH4" s="155" t="str" cm="1">
        <f t="array" aca="1" ref="AH4" ca="1" xml:space="preserve"> INDIRECT( ADDRESS( 8 + AH$2, COLUMN($AZ:$AZ)))</f>
        <v>ㄠ</v>
      </c>
      <c r="AI4" s="155" t="str" cm="1">
        <f t="array" aca="1" ref="AI4" ca="1" xml:space="preserve"> INDIRECT( ADDRESS( 8 + AI$2, COLUMN($AZ:$AZ)))</f>
        <v>ㄡ</v>
      </c>
      <c r="AJ4" s="155" t="str" cm="1">
        <f t="array" aca="1" ref="AJ4" ca="1" xml:space="preserve"> INDIRECT( ADDRESS( 8 + AJ$2, COLUMN($AZ:$AZ)))</f>
        <v>ㄢ</v>
      </c>
      <c r="AK4" s="155" t="str" cm="1">
        <f t="array" aca="1" ref="AK4" ca="1" xml:space="preserve"> INDIRECT( ADDRESS( 8 + AK$2, COLUMN($AZ:$AZ)))</f>
        <v>ㄣ</v>
      </c>
      <c r="AL4" s="155" t="str" cm="1">
        <f t="array" aca="1" ref="AL4" ca="1" xml:space="preserve"> INDIRECT( ADDRESS( 8 + AL$2, COLUMN($AZ:$AZ)))</f>
        <v>ㄤ</v>
      </c>
      <c r="AM4" s="155" t="str" cm="1">
        <f t="array" aca="1" ref="AM4" ca="1" xml:space="preserve"> INDIRECT( ADDRESS( 8 + AM$2, COLUMN($AZ:$AZ)))</f>
        <v>ㄥ</v>
      </c>
      <c r="AN4" s="155" t="str" cm="1">
        <f t="array" aca="1" ref="AN4" ca="1" xml:space="preserve"> INDIRECT( ADDRESS( 8 + AN$2, COLUMN($AZ:$AZ)))</f>
        <v>ㄦ</v>
      </c>
      <c r="AO4" s="155" t="str" cm="1">
        <f t="array" aca="1" ref="AO4" ca="1" xml:space="preserve"> INDIRECT( ADDRESS( 8 + AO$2, COLUMN($AZ:$AZ)))</f>
        <v>ˉ</v>
      </c>
      <c r="AP4" s="155" t="str" cm="1">
        <f t="array" aca="1" ref="AP4" ca="1" xml:space="preserve"> INDIRECT( ADDRESS( 8 + AP$2, COLUMN($AZ:$AZ)))</f>
        <v>ˊ</v>
      </c>
      <c r="AQ4" s="155" t="str" cm="1">
        <f t="array" aca="1" ref="AQ4" ca="1" xml:space="preserve"> INDIRECT( ADDRESS( 8 + AQ$2, COLUMN($AZ:$AZ)))</f>
        <v>ˇ</v>
      </c>
      <c r="AR4" s="155" t="str" cm="1">
        <f t="array" aca="1" ref="AR4" ca="1" xml:space="preserve"> INDIRECT( ADDRESS( 8 + AR$2, COLUMN($AZ:$AZ)))</f>
        <v>ˋ</v>
      </c>
      <c r="AS4" s="155" t="str" cm="1">
        <f t="array" aca="1" ref="AS4" ca="1" xml:space="preserve"> INDIRECT( ADDRESS( 8 + AS$2, COLUMN($AZ:$AZ)))</f>
        <v>˙</v>
      </c>
      <c r="AV4"/>
      <c r="AY4"/>
      <c r="AZ4"/>
      <c r="BA4"/>
      <c r="BB4" s="325" t="s">
        <v>673</v>
      </c>
      <c r="BC4" s="343" t="s">
        <v>795</v>
      </c>
      <c r="BD4" s="344"/>
      <c r="BE4" s="344"/>
      <c r="BF4" s="344"/>
      <c r="BG4" s="344"/>
      <c r="BI4" s="345"/>
      <c r="BJ4" s="345"/>
      <c r="BK4" s="347"/>
      <c r="BL4" s="345"/>
      <c r="BM4" s="345"/>
    </row>
    <row r="5" spans="1:65" ht="40.5" customHeight="1">
      <c r="A5" s="10"/>
      <c r="B5" s="49" t="s">
        <v>229</v>
      </c>
      <c r="C5" s="50"/>
      <c r="D5" s="112" t="str" cm="1">
        <f t="array" aca="1" ref="D5" ca="1" xml:space="preserve"> INDIRECT( ADDRESS( 8 + D$2, COLUMN($AX:$AX)))</f>
        <v>b</v>
      </c>
      <c r="E5" s="112" t="str" cm="1">
        <f t="array" aca="1" ref="E5" ca="1" xml:space="preserve"> INDIRECT( ADDRESS( 8 + E$2, COLUMN($AX:$AX)))</f>
        <v>p</v>
      </c>
      <c r="F5" s="112" t="str" cm="1">
        <f t="array" aca="1" ref="F5" ca="1" xml:space="preserve"> INDIRECT( ADDRESS( 8 + F$2, COLUMN($AX:$AX)))</f>
        <v>m</v>
      </c>
      <c r="G5" s="112" t="str" cm="1">
        <f t="array" aca="1" ref="G5" ca="1" xml:space="preserve"> INDIRECT( ADDRESS( 8 + G$2, COLUMN($AX:$AX)))</f>
        <v>f</v>
      </c>
      <c r="H5" s="112" t="str" cm="1">
        <f t="array" aca="1" ref="H5" ca="1" xml:space="preserve"> INDIRECT( ADDRESS( 8 + H$2, COLUMN($AX:$AX)))</f>
        <v>d</v>
      </c>
      <c r="I5" s="112" t="str" cm="1">
        <f t="array" aca="1" ref="I5" ca="1" xml:space="preserve"> INDIRECT( ADDRESS( 8 + I$2, COLUMN($AX:$AX)))</f>
        <v>t</v>
      </c>
      <c r="J5" s="112" t="str" cm="1">
        <f t="array" aca="1" ref="J5" ca="1" xml:space="preserve"> INDIRECT( ADDRESS( 8 + J$2, COLUMN($AX:$AX)))</f>
        <v>n</v>
      </c>
      <c r="K5" s="112" t="str" cm="1">
        <f t="array" aca="1" ref="K5" ca="1" xml:space="preserve"> INDIRECT( ADDRESS( 8 + K$2, COLUMN($AX:$AX)))</f>
        <v>l</v>
      </c>
      <c r="L5" s="112" t="str" cm="1">
        <f t="array" aca="1" ref="L5" ca="1" xml:space="preserve"> INDIRECT( ADDRESS( 8 + L$2, COLUMN($AX:$AX)))</f>
        <v>g</v>
      </c>
      <c r="M5" s="112" t="str" cm="1">
        <f t="array" aca="1" ref="M5" ca="1" xml:space="preserve"> INDIRECT( ADDRESS( 8 + M$2, COLUMN($AX:$AX)))</f>
        <v>k</v>
      </c>
      <c r="N5" s="112" t="str" cm="1">
        <f t="array" aca="1" ref="N5" ca="1" xml:space="preserve"> INDIRECT( ADDRESS( 8 + N$2, COLUMN($AX:$AX)))</f>
        <v>h</v>
      </c>
      <c r="O5" s="112" t="str" cm="1">
        <f t="array" aca="1" ref="O5" ca="1" xml:space="preserve"> INDIRECT( ADDRESS( 8 + O$2, COLUMN($AX:$AX)))</f>
        <v>j</v>
      </c>
      <c r="P5" s="112" t="str" cm="1">
        <f t="array" aca="1" ref="P5" ca="1" xml:space="preserve"> INDIRECT( ADDRESS( 8 + P$2, COLUMN($AX:$AX)))</f>
        <v>q</v>
      </c>
      <c r="Q5" s="112" t="str" cm="1">
        <f t="array" aca="1" ref="Q5" ca="1" xml:space="preserve"> INDIRECT( ADDRESS( 8 + Q$2, COLUMN($AX:$AX)))</f>
        <v>x</v>
      </c>
      <c r="R5" s="112" t="str" cm="1">
        <f t="array" aca="1" ref="R5" ca="1" xml:space="preserve"> INDIRECT( ADDRESS( 8 + R$2, COLUMN($AX:$AX)))</f>
        <v>Z</v>
      </c>
      <c r="S5" s="112" t="str" cm="1">
        <f t="array" aca="1" ref="S5" ca="1" xml:space="preserve"> INDIRECT( ADDRESS( 8 + S$2, COLUMN($AX:$AX)))</f>
        <v>C</v>
      </c>
      <c r="T5" s="112" t="str" cm="1">
        <f t="array" aca="1" ref="T5" ca="1" xml:space="preserve"> INDIRECT( ADDRESS( 8 + T$2, COLUMN($AX:$AX)))</f>
        <v>S</v>
      </c>
      <c r="U5" s="112" t="str" cm="1">
        <f t="array" aca="1" ref="U5" ca="1" xml:space="preserve"> INDIRECT( ADDRESS( 8 + U$2, COLUMN($AX:$AX)))</f>
        <v>r</v>
      </c>
      <c r="V5" s="112" t="str" cm="1">
        <f t="array" aca="1" ref="V5" ca="1" xml:space="preserve"> INDIRECT( ADDRESS( 8 + V$2, COLUMN($AX:$AX)))</f>
        <v>z</v>
      </c>
      <c r="W5" s="112" t="str" cm="1">
        <f t="array" aca="1" ref="W5" ca="1" xml:space="preserve"> INDIRECT( ADDRESS( 8 + W$2, COLUMN($AX:$AX)))</f>
        <v>c</v>
      </c>
      <c r="X5" s="112" t="str" cm="1">
        <f t="array" aca="1" ref="X5" ca="1" xml:space="preserve"> INDIRECT( ADDRESS( 8 + X$2, COLUMN($AX:$AX)))</f>
        <v>s</v>
      </c>
      <c r="Y5" s="112" t="str" cm="1">
        <f t="array" aca="1" ref="Y5" ca="1" xml:space="preserve"> INDIRECT( ADDRESS( 8 + Y$2, COLUMN($AX:$AX)))</f>
        <v>i</v>
      </c>
      <c r="Z5" s="112" t="str" cm="1">
        <f t="array" aca="1" ref="Z5" ca="1" xml:space="preserve"> INDIRECT( ADDRESS( 8 + Z$2, COLUMN($AX:$AX)))</f>
        <v>u</v>
      </c>
      <c r="AA5" s="112" t="str" cm="1">
        <f t="array" aca="1" ref="AA5" ca="1" xml:space="preserve"> INDIRECT( ADDRESS( 8 + AA$2, COLUMN($AX:$AX)))</f>
        <v>v</v>
      </c>
      <c r="AB5" s="112" t="str" cm="1">
        <f t="array" aca="1" ref="AB5" ca="1" xml:space="preserve"> INDIRECT( ADDRESS( 8 + AB$2, COLUMN($AX:$AX)))</f>
        <v>a</v>
      </c>
      <c r="AC5" s="112" t="str" cm="1">
        <f t="array" aca="1" ref="AC5" ca="1" xml:space="preserve"> INDIRECT( ADDRESS( 8 + AC$2, COLUMN($AX:$AX)))</f>
        <v>o</v>
      </c>
      <c r="AD5" s="112" t="str" cm="1">
        <f t="array" aca="1" ref="AD5" ca="1" xml:space="preserve"> INDIRECT( ADDRESS( 8 + AD$2, COLUMN($AX:$AX)))</f>
        <v>e</v>
      </c>
      <c r="AE5" s="112" t="str" cm="1">
        <f t="array" aca="1" ref="AE5" ca="1" xml:space="preserve"> INDIRECT( ADDRESS( 8 + AE$2, COLUMN($AX:$AX)))</f>
        <v>E</v>
      </c>
      <c r="AF5" s="112" t="str" cm="1">
        <f t="array" aca="1" ref="AF5" ca="1" xml:space="preserve"> INDIRECT( ADDRESS( 8 + AF$2, COLUMN($AX:$AX)))</f>
        <v>A</v>
      </c>
      <c r="AG5" s="112" t="str" cm="1">
        <f t="array" aca="1" ref="AG5" ca="1" xml:space="preserve"> INDIRECT( ADDRESS( 8 + AG$2, COLUMN($AX:$AX)))</f>
        <v>I</v>
      </c>
      <c r="AH5" s="112" t="str" cm="1">
        <f t="array" aca="1" ref="AH5" ca="1" xml:space="preserve"> INDIRECT( ADDRESS( 8 + AH$2, COLUMN($AX:$AX)))</f>
        <v>O</v>
      </c>
      <c r="AI5" s="112" t="str" cm="1">
        <f t="array" aca="1" ref="AI5" ca="1" xml:space="preserve"> INDIRECT( ADDRESS( 8 + AI$2, COLUMN($AX:$AX)))</f>
        <v>U</v>
      </c>
      <c r="AJ5" s="112" t="str" cm="1">
        <f t="array" aca="1" ref="AJ5" ca="1" xml:space="preserve"> INDIRECT( ADDRESS( 8 + AJ$2, COLUMN($AX:$AX)))</f>
        <v>M</v>
      </c>
      <c r="AK5" s="112" t="str" cm="1">
        <f t="array" aca="1" ref="AK5" ca="1" xml:space="preserve"> INDIRECT( ADDRESS( 8 + AK$2, COLUMN($AX:$AX)))</f>
        <v>N</v>
      </c>
      <c r="AL5" s="112" t="str" cm="1">
        <f t="array" aca="1" ref="AL5" ca="1" xml:space="preserve"> INDIRECT( ADDRESS( 8 + AL$2, COLUMN($AX:$AX)))</f>
        <v>K</v>
      </c>
      <c r="AM5" s="112" t="str" cm="1">
        <f t="array" aca="1" ref="AM5" ca="1" xml:space="preserve"> INDIRECT( ADDRESS( 8 + AM$2, COLUMN($AX:$AX)))</f>
        <v>G</v>
      </c>
      <c r="AN5" s="112" t="str" cm="1">
        <f t="array" aca="1" ref="AN5" ca="1" xml:space="preserve"> INDIRECT( ADDRESS( 8 + AN$2, COLUMN($AX:$AX)))</f>
        <v>R</v>
      </c>
      <c r="AO5" s="112" t="str" cm="1">
        <f t="array" aca="1" ref="AO5" ca="1" xml:space="preserve"> INDIRECT( ADDRESS( 8 + AO$2, COLUMN($AX:$AX)))</f>
        <v>1</v>
      </c>
      <c r="AP5" s="112" t="str" cm="1">
        <f t="array" aca="1" ref="AP5" ca="1" xml:space="preserve"> INDIRECT( ADDRESS( 8 + AP$2, COLUMN($AX:$AX)))</f>
        <v>2</v>
      </c>
      <c r="AQ5" s="112" t="str" cm="1">
        <f t="array" aca="1" ref="AQ5" ca="1" xml:space="preserve"> INDIRECT( ADDRESS( 8 + AQ$2, COLUMN($AX:$AX)))</f>
        <v>3</v>
      </c>
      <c r="AR5" s="112" t="str" cm="1">
        <f t="array" aca="1" ref="AR5" ca="1" xml:space="preserve"> INDIRECT( ADDRESS( 8 + AR$2, COLUMN($AX:$AX)))</f>
        <v>4</v>
      </c>
      <c r="AS5" s="112" t="str" cm="1">
        <f t="array" aca="1" ref="AS5" ca="1" xml:space="preserve"> INDIRECT( ADDRESS( 8 + AS$2, COLUMN($AX:$AX)))</f>
        <v>5</v>
      </c>
      <c r="BB5" s="325" t="s">
        <v>674</v>
      </c>
      <c r="BC5" s="343" t="s">
        <v>796</v>
      </c>
      <c r="BD5" s="344"/>
      <c r="BE5" s="344"/>
      <c r="BF5" s="344"/>
      <c r="BG5" s="344"/>
    </row>
    <row r="6" spans="1:65" s="3" customFormat="1" ht="40.5" customHeight="1">
      <c r="A6" s="10"/>
      <c r="B6" s="27" t="s">
        <v>259</v>
      </c>
      <c r="C6" s="28"/>
      <c r="D6" s="114" t="str" cm="1">
        <f t="array" aca="1" ref="D6" ca="1" xml:space="preserve"> INDIRECT( ADDRESS( 8 + D$2, COLUMN($AY:$AY)))</f>
        <v>b</v>
      </c>
      <c r="E6" s="114" t="str" cm="1">
        <f t="array" aca="1" ref="E6" ca="1" xml:space="preserve"> INDIRECT( ADDRESS( 8 + E$2, COLUMN($AY:$AY)))</f>
        <v>p</v>
      </c>
      <c r="F6" s="114" t="str" cm="1">
        <f t="array" aca="1" ref="F6" ca="1" xml:space="preserve"> INDIRECT( ADDRESS( 8 + F$2, COLUMN($AY:$AY)))</f>
        <v>m</v>
      </c>
      <c r="G6" s="114" t="str" cm="1">
        <f t="array" aca="1" ref="G6" ca="1" xml:space="preserve"> INDIRECT( ADDRESS( 8 + G$2, COLUMN($AY:$AY)))</f>
        <v>f</v>
      </c>
      <c r="H6" s="114" t="str" cm="1">
        <f t="array" aca="1" ref="H6" ca="1" xml:space="preserve"> INDIRECT( ADDRESS( 8 + H$2, COLUMN($AY:$AY)))</f>
        <v>d</v>
      </c>
      <c r="I6" s="114" t="str" cm="1">
        <f t="array" aca="1" ref="I6" ca="1" xml:space="preserve"> INDIRECT( ADDRESS( 8 + I$2, COLUMN($AY:$AY)))</f>
        <v>t</v>
      </c>
      <c r="J6" s="114" t="str" cm="1">
        <f t="array" aca="1" ref="J6" ca="1" xml:space="preserve"> INDIRECT( ADDRESS( 8 + J$2, COLUMN($AY:$AY)))</f>
        <v>n</v>
      </c>
      <c r="K6" s="114" t="str" cm="1">
        <f t="array" aca="1" ref="K6" ca="1" xml:space="preserve"> INDIRECT( ADDRESS( 8 + K$2, COLUMN($AY:$AY)))</f>
        <v>l</v>
      </c>
      <c r="L6" s="114" t="str" cm="1">
        <f t="array" aca="1" ref="L6" ca="1" xml:space="preserve"> INDIRECT( ADDRESS( 8 + L$2, COLUMN($AY:$AY)))</f>
        <v>g</v>
      </c>
      <c r="M6" s="114" t="str" cm="1">
        <f t="array" aca="1" ref="M6" ca="1" xml:space="preserve"> INDIRECT( ADDRESS( 8 + M$2, COLUMN($AY:$AY)))</f>
        <v>k</v>
      </c>
      <c r="N6" s="114" t="str" cm="1">
        <f t="array" aca="1" ref="N6" ca="1" xml:space="preserve"> INDIRECT( ADDRESS( 8 + N$2, COLUMN($AY:$AY)))</f>
        <v>h</v>
      </c>
      <c r="O6" s="114" t="str" cm="1">
        <f t="array" aca="1" ref="O6" ca="1" xml:space="preserve"> INDIRECT( ADDRESS( 8 + O$2, COLUMN($AY:$AY)))</f>
        <v>j</v>
      </c>
      <c r="P6" s="114" t="str" cm="1">
        <f t="array" aca="1" ref="P6" ca="1" xml:space="preserve"> INDIRECT( ADDRESS( 8 + P$2, COLUMN($AY:$AY)))</f>
        <v>q</v>
      </c>
      <c r="Q6" s="114" t="str" cm="1">
        <f t="array" aca="1" ref="Q6" ca="1" xml:space="preserve"> INDIRECT( ADDRESS( 8 + Q$2, COLUMN($AY:$AY)))</f>
        <v>x</v>
      </c>
      <c r="R6" s="114" t="str" cm="1">
        <f t="array" aca="1" ref="R6" ca="1" xml:space="preserve"> INDIRECT( ADDRESS( 8 + R$2, COLUMN($AY:$AY)))</f>
        <v>zh</v>
      </c>
      <c r="S6" s="114" t="str" cm="1">
        <f t="array" aca="1" ref="S6" ca="1" xml:space="preserve"> INDIRECT( ADDRESS( 8 + S$2, COLUMN($AY:$AY)))</f>
        <v>ch</v>
      </c>
      <c r="T6" s="114" t="str" cm="1">
        <f t="array" aca="1" ref="T6" ca="1" xml:space="preserve"> INDIRECT( ADDRESS( 8 + T$2, COLUMN($AY:$AY)))</f>
        <v>sh</v>
      </c>
      <c r="U6" s="114" t="str" cm="1">
        <f t="array" aca="1" ref="U6" ca="1" xml:space="preserve"> INDIRECT( ADDRESS( 8 + U$2, COLUMN($AY:$AY)))</f>
        <v>r</v>
      </c>
      <c r="V6" s="114" t="str" cm="1">
        <f t="array" aca="1" ref="V6" ca="1" xml:space="preserve"> INDIRECT( ADDRESS( 8 + V$2, COLUMN($AY:$AY)))</f>
        <v>z</v>
      </c>
      <c r="W6" s="114" t="str" cm="1">
        <f t="array" aca="1" ref="W6" ca="1" xml:space="preserve"> INDIRECT( ADDRESS( 8 + W$2, COLUMN($AY:$AY)))</f>
        <v>ch</v>
      </c>
      <c r="X6" s="114" t="str" cm="1">
        <f t="array" aca="1" ref="X6" ca="1" xml:space="preserve"> INDIRECT( ADDRESS( 8 + X$2, COLUMN($AY:$AY)))</f>
        <v>s</v>
      </c>
      <c r="Y6" s="114" t="str" cm="1">
        <f t="array" aca="1" ref="Y6" ca="1" xml:space="preserve"> INDIRECT( ADDRESS( 8 + Y$2, COLUMN($AY:$AY)))</f>
        <v>i</v>
      </c>
      <c r="Z6" s="114" t="str" cm="1">
        <f t="array" aca="1" ref="Z6" ca="1" xml:space="preserve"> INDIRECT( ADDRESS( 8 + Z$2, COLUMN($AY:$AY)))</f>
        <v>u</v>
      </c>
      <c r="AA6" s="114" t="str" cm="1">
        <f t="array" aca="1" ref="AA6" ca="1" xml:space="preserve"> INDIRECT( ADDRESS( 8 + AA$2, COLUMN($AY:$AY)))</f>
        <v xml:space="preserve">ü </v>
      </c>
      <c r="AB6" s="114" t="str" cm="1">
        <f t="array" aca="1" ref="AB6" ca="1" xml:space="preserve"> INDIRECT( ADDRESS( 8 + AB$2, COLUMN($AY:$AY)))</f>
        <v>a</v>
      </c>
      <c r="AC6" s="114" t="str" cm="1">
        <f t="array" aca="1" ref="AC6" ca="1" xml:space="preserve"> INDIRECT( ADDRESS( 8 + AC$2, COLUMN($AY:$AY)))</f>
        <v>o</v>
      </c>
      <c r="AD6" s="114" t="str" cm="1">
        <f t="array" aca="1" ref="AD6" ca="1" xml:space="preserve"> INDIRECT( ADDRESS( 8 + AD$2, COLUMN($AY:$AY)))</f>
        <v>e</v>
      </c>
      <c r="AE6" s="114" t="str" cm="1">
        <f t="array" aca="1" ref="AE6" ca="1" xml:space="preserve"> INDIRECT( ADDRESS( 8 + AE$2, COLUMN($AY:$AY)))</f>
        <v xml:space="preserve">ê </v>
      </c>
      <c r="AF6" s="114" t="str" cm="1">
        <f t="array" aca="1" ref="AF6" ca="1" xml:space="preserve"> INDIRECT( ADDRESS( 8 + AF$2, COLUMN($AY:$AY)))</f>
        <v>ai</v>
      </c>
      <c r="AG6" s="114" t="str" cm="1">
        <f t="array" aca="1" ref="AG6" ca="1" xml:space="preserve"> INDIRECT( ADDRESS( 8 + AG$2, COLUMN($AY:$AY)))</f>
        <v>ei</v>
      </c>
      <c r="AH6" s="114" t="str" cm="1">
        <f t="array" aca="1" ref="AH6" ca="1" xml:space="preserve"> INDIRECT( ADDRESS( 8 + AH$2, COLUMN($AY:$AY)))</f>
        <v>ao</v>
      </c>
      <c r="AI6" s="114" t="str" cm="1">
        <f t="array" aca="1" ref="AI6" ca="1" xml:space="preserve"> INDIRECT( ADDRESS( 8 + AI$2, COLUMN($AY:$AY)))</f>
        <v>ou</v>
      </c>
      <c r="AJ6" s="114" t="str" cm="1">
        <f t="array" aca="1" ref="AJ6" ca="1" xml:space="preserve"> INDIRECT( ADDRESS( 8 + AJ$2, COLUMN($AY:$AY)))</f>
        <v>an</v>
      </c>
      <c r="AK6" s="114" t="str" cm="1">
        <f t="array" aca="1" ref="AK6" ca="1" xml:space="preserve"> INDIRECT( ADDRESS( 8 + AK$2, COLUMN($AY:$AY)))</f>
        <v>enn</v>
      </c>
      <c r="AL6" s="114" t="str" cm="1">
        <f t="array" aca="1" ref="AL6" ca="1" xml:space="preserve"> INDIRECT( ADDRESS( 8 + AL$2, COLUMN($AY:$AY)))</f>
        <v>ang</v>
      </c>
      <c r="AM6" s="114" t="str" cm="1">
        <f t="array" aca="1" ref="AM6" ca="1" xml:space="preserve"> INDIRECT( ADDRESS( 8 + AM$2, COLUMN($AY:$AY)))</f>
        <v>eng</v>
      </c>
      <c r="AN6" s="114" t="str" cm="1">
        <f t="array" aca="1" ref="AN6" ca="1" xml:space="preserve"> INDIRECT( ADDRESS( 8 + AN$2, COLUMN($AY:$AY)))</f>
        <v>er</v>
      </c>
      <c r="AO6" s="114" t="str" cm="1">
        <f t="array" aca="1" ref="AO6" ca="1" xml:space="preserve"> INDIRECT( ADDRESS( 8 + AO$2, COLUMN($AY:$AY)))</f>
        <v>om</v>
      </c>
      <c r="AP6" s="114" t="str" cm="1">
        <f t="array" aca="1" ref="AP6" ca="1" xml:space="preserve"> INDIRECT( ADDRESS( 8 + AP$2, COLUMN($AY:$AY)))</f>
        <v>ann</v>
      </c>
      <c r="AQ6" s="114" t="str" cm="1">
        <f t="array" aca="1" ref="AQ6" ca="1" xml:space="preserve"> INDIRECT( ADDRESS( 8 + AQ$2, COLUMN($AY:$AY)))</f>
        <v>inn</v>
      </c>
      <c r="AR6" s="114" t="str" cm="1">
        <f t="array" aca="1" ref="AR6" ca="1" xml:space="preserve"> INDIRECT( ADDRESS( 8 + AR$2, COLUMN($AY:$AY)))</f>
        <v>unn</v>
      </c>
      <c r="AS6" s="114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45"/>
      <c r="BJ6" s="345"/>
      <c r="BK6" s="347"/>
      <c r="BL6" s="345"/>
      <c r="BM6" s="345"/>
    </row>
    <row r="7" spans="1:65" s="3" customFormat="1" ht="36" customHeight="1" thickBot="1">
      <c r="A7"/>
      <c r="AV7" s="38"/>
      <c r="AW7"/>
      <c r="AX7"/>
      <c r="AY7"/>
      <c r="AZ7"/>
      <c r="BC7" s="38"/>
      <c r="BD7"/>
      <c r="BE7"/>
      <c r="BI7" s="345"/>
      <c r="BJ7" s="345">
        <f xml:space="preserve"> FIND("/", BI8)</f>
        <v>12</v>
      </c>
      <c r="BK7" s="347"/>
      <c r="BL7" s="345"/>
      <c r="BM7" s="345"/>
    </row>
    <row r="8" spans="1:65" ht="42.75" customHeight="1" thickBot="1">
      <c r="A8" s="3"/>
      <c r="B8" s="3"/>
      <c r="C8" s="2"/>
      <c r="D8" s="305"/>
      <c r="E8" s="301" t="s">
        <v>658</v>
      </c>
      <c r="F8" s="304"/>
      <c r="G8" s="581" t="s">
        <v>0</v>
      </c>
      <c r="H8" s="582"/>
      <c r="I8" s="583"/>
      <c r="J8" s="598" t="s">
        <v>1</v>
      </c>
      <c r="K8" s="599"/>
      <c r="L8" s="600"/>
      <c r="M8" s="598" t="s">
        <v>2</v>
      </c>
      <c r="N8" s="599"/>
      <c r="O8" s="600"/>
      <c r="P8" s="305"/>
      <c r="Q8" s="327" t="s">
        <v>712</v>
      </c>
      <c r="R8" s="304"/>
      <c r="S8" s="598" t="s">
        <v>3</v>
      </c>
      <c r="T8" s="599"/>
      <c r="U8" s="600"/>
      <c r="V8" s="598" t="s">
        <v>4</v>
      </c>
      <c r="W8" s="599"/>
      <c r="X8" s="600"/>
      <c r="Y8" s="306"/>
      <c r="Z8" s="302" t="s">
        <v>660</v>
      </c>
      <c r="AA8" s="307"/>
      <c r="AB8" s="306"/>
      <c r="AC8" s="302" t="s">
        <v>659</v>
      </c>
      <c r="AD8" s="307"/>
      <c r="AE8" s="589" t="s">
        <v>5</v>
      </c>
      <c r="AF8" s="590"/>
      <c r="AG8" s="591"/>
      <c r="AH8" s="584" t="s">
        <v>6</v>
      </c>
      <c r="AI8" s="585"/>
      <c r="AJ8" s="586"/>
      <c r="AK8" s="584" t="s">
        <v>7</v>
      </c>
      <c r="AL8" s="585"/>
      <c r="AM8" s="586"/>
      <c r="AN8" s="2"/>
      <c r="AO8" s="2"/>
      <c r="AP8" s="2"/>
      <c r="AQ8" s="2"/>
      <c r="AR8" s="2"/>
      <c r="AS8" s="2"/>
      <c r="AT8" s="2"/>
      <c r="AU8" s="2"/>
      <c r="AV8" s="318" t="s">
        <v>103</v>
      </c>
      <c r="AW8" s="321" t="s">
        <v>413</v>
      </c>
      <c r="AX8" s="328" t="s">
        <v>229</v>
      </c>
      <c r="AY8" s="319" t="s">
        <v>259</v>
      </c>
      <c r="AZ8" s="329" t="s">
        <v>677</v>
      </c>
      <c r="BC8" s="335" t="s">
        <v>103</v>
      </c>
      <c r="BD8" s="336" t="s">
        <v>677</v>
      </c>
      <c r="BE8" s="337" t="s">
        <v>671</v>
      </c>
      <c r="BF8" s="338" t="s">
        <v>672</v>
      </c>
      <c r="BI8" s="350" t="s">
        <v>704</v>
      </c>
      <c r="BJ8" s="349" t="str">
        <f xml:space="preserve"> MID(BI8, $BJ$7+1, BM8-$BJ$7-1)</f>
        <v>^m(\d)$</v>
      </c>
      <c r="BK8" s="348" t="str">
        <f t="shared" ref="BK8:BK32" si="0">MID(BI8, BM8+1, BL8-BM8-1)</f>
        <v>mu$1</v>
      </c>
      <c r="BL8" s="346">
        <f t="shared" ref="BL8:BL32" si="1">FIND("/",BI8, BM8+1)</f>
        <v>25</v>
      </c>
      <c r="BM8" s="346">
        <f t="shared" ref="BM8:BM32" si="2" xml:space="preserve"> FIND("/", BI8, 13)</f>
        <v>20</v>
      </c>
    </row>
    <row r="9" spans="1:65" ht="42.75" customHeight="1" thickTop="1" thickBot="1">
      <c r="C9" s="4"/>
      <c r="D9" s="31" t="str">
        <f ca="1">D4</f>
        <v>ㄅ</v>
      </c>
      <c r="E9" s="32" t="str">
        <f ca="1">D5</f>
        <v>b</v>
      </c>
      <c r="F9" s="108" t="str">
        <f ca="1">D6</f>
        <v>b</v>
      </c>
      <c r="G9" s="31" t="str">
        <f ca="1">H4</f>
        <v>ㄉ</v>
      </c>
      <c r="H9" s="32"/>
      <c r="I9" s="5" t="s">
        <v>11</v>
      </c>
      <c r="J9" s="592" t="str">
        <f ca="1">AQ4</f>
        <v>ˇ</v>
      </c>
      <c r="K9" s="593"/>
      <c r="L9" s="6" t="s">
        <v>15</v>
      </c>
      <c r="M9" s="594" t="str">
        <f ca="1">AR4</f>
        <v>ˋ</v>
      </c>
      <c r="N9" s="595"/>
      <c r="O9" s="334" t="s">
        <v>793</v>
      </c>
      <c r="P9" s="31" t="str">
        <f ca="1">R4</f>
        <v>ㄓ</v>
      </c>
      <c r="Q9" s="32" t="str">
        <f ca="1">R5</f>
        <v>Z</v>
      </c>
      <c r="R9" s="107" t="str">
        <f ca="1">R6</f>
        <v>zh</v>
      </c>
      <c r="S9" s="594" t="str">
        <f ca="1">AP4</f>
        <v>ˊ</v>
      </c>
      <c r="T9" s="595"/>
      <c r="U9" s="6" t="s">
        <v>19</v>
      </c>
      <c r="V9" s="596" t="str">
        <f ca="1">AS4</f>
        <v>˙</v>
      </c>
      <c r="W9" s="597"/>
      <c r="X9" s="334" t="s">
        <v>794</v>
      </c>
      <c r="Y9" s="308" t="str">
        <f ca="1">AB4</f>
        <v>ㄚ</v>
      </c>
      <c r="Z9" s="36"/>
      <c r="AA9" s="109" t="str">
        <f ca="1">W6</f>
        <v>ch</v>
      </c>
      <c r="AB9" s="308" t="str">
        <f ca="1">AF4</f>
        <v>ㄞ</v>
      </c>
      <c r="AC9" s="36" t="str">
        <f ca="1">AF5</f>
        <v>A</v>
      </c>
      <c r="AD9" s="109" t="str">
        <f ca="1">AF6</f>
        <v>ai</v>
      </c>
      <c r="AE9" s="308" t="str">
        <f ca="1">AJ4</f>
        <v>ㄢ</v>
      </c>
      <c r="AF9" s="36" t="str">
        <f ca="1">AJ6</f>
        <v>an</v>
      </c>
      <c r="AG9" s="109" t="str">
        <f ca="1">AE6</f>
        <v xml:space="preserve">ê </v>
      </c>
      <c r="AH9" s="308" t="str">
        <f ca="1">AN4</f>
        <v>ㄦ</v>
      </c>
      <c r="AI9" s="36" t="str">
        <f ca="1">AN5</f>
        <v>R</v>
      </c>
      <c r="AJ9" s="109" t="str">
        <f ca="1">AN6</f>
        <v>er</v>
      </c>
      <c r="AK9" s="587"/>
      <c r="AL9" s="588"/>
      <c r="AM9" s="8"/>
      <c r="AN9" s="4"/>
      <c r="AO9" s="4"/>
      <c r="AP9" s="4"/>
      <c r="AQ9" s="4"/>
      <c r="AR9" s="2"/>
      <c r="AS9" s="4"/>
      <c r="AT9" s="4"/>
      <c r="AU9" s="4"/>
      <c r="AV9" s="154" cm="1">
        <f t="array" ref="AV9" xml:space="preserve"> ROW() - ROW($8:$8)</f>
        <v>1</v>
      </c>
      <c r="AW9" s="330" t="s">
        <v>168</v>
      </c>
      <c r="AX9" s="331" t="s">
        <v>91</v>
      </c>
      <c r="AY9" s="332" t="s">
        <v>91</v>
      </c>
      <c r="AZ9" s="333" t="s">
        <v>753</v>
      </c>
      <c r="BC9" s="339" cm="1">
        <f t="array" ref="BC9" xml:space="preserve"> ROW() - ROW($8:$8)</f>
        <v>1</v>
      </c>
      <c r="BD9" s="340" t="str">
        <f>表格7_9[[#This Row],[注音符號]]</f>
        <v>ㄅ</v>
      </c>
      <c r="BE9" s="341" t="str">
        <f t="shared" ref="BE9:BE40" si="3" xml:space="preserve"> MID($BC$4,$BC9,1)</f>
        <v>1</v>
      </c>
      <c r="BF9" s="342" t="str">
        <f t="shared" ref="BF9:BF40" si="4" xml:space="preserve"> MID($BC$5,$BC9,1)</f>
        <v>1</v>
      </c>
      <c r="BI9" s="350" t="s">
        <v>705</v>
      </c>
      <c r="BJ9" s="349" t="str">
        <f t="shared" ref="BJ9:BJ32" si="5" xml:space="preserve"> MID(BI9, $BJ$7+1, BM9-$BJ$7-1)</f>
        <v>^r5$</v>
      </c>
      <c r="BK9" s="348" t="str">
        <f t="shared" si="0"/>
        <v>er5</v>
      </c>
      <c r="BL9" s="346">
        <f t="shared" si="1"/>
        <v>21</v>
      </c>
      <c r="BM9" s="346">
        <f t="shared" si="2"/>
        <v>17</v>
      </c>
    </row>
    <row r="10" spans="1:65" s="23" customFormat="1" ht="42.75" customHeight="1">
      <c r="A10" s="3"/>
      <c r="B10" s="3"/>
      <c r="C10" s="2"/>
      <c r="D10" s="2"/>
      <c r="E10" s="581" t="s">
        <v>24</v>
      </c>
      <c r="F10" s="582"/>
      <c r="G10" s="583"/>
      <c r="H10" s="581" t="s">
        <v>25</v>
      </c>
      <c r="I10" s="582"/>
      <c r="J10" s="583"/>
      <c r="K10" s="305"/>
      <c r="L10" s="301" t="s">
        <v>649</v>
      </c>
      <c r="M10" s="304"/>
      <c r="N10" s="581" t="s">
        <v>27</v>
      </c>
      <c r="O10" s="582"/>
      <c r="P10" s="583"/>
      <c r="Q10" s="581" t="s">
        <v>28</v>
      </c>
      <c r="R10" s="582"/>
      <c r="S10" s="583"/>
      <c r="T10" s="305"/>
      <c r="U10" s="301" t="s">
        <v>209</v>
      </c>
      <c r="V10" s="304"/>
      <c r="W10" s="306"/>
      <c r="X10" s="302" t="s">
        <v>519</v>
      </c>
      <c r="Y10" s="307"/>
      <c r="Z10" s="306"/>
      <c r="AA10" s="302" t="s">
        <v>518</v>
      </c>
      <c r="AB10" s="307"/>
      <c r="AC10" s="589" t="s">
        <v>32</v>
      </c>
      <c r="AD10" s="590"/>
      <c r="AE10" s="591"/>
      <c r="AF10" s="589" t="s">
        <v>33</v>
      </c>
      <c r="AG10" s="590"/>
      <c r="AH10" s="591"/>
      <c r="AI10" s="589" t="s">
        <v>34</v>
      </c>
      <c r="AJ10" s="590"/>
      <c r="AK10" s="591"/>
      <c r="AL10" s="589" t="s">
        <v>35</v>
      </c>
      <c r="AM10" s="590"/>
      <c r="AN10" s="591"/>
      <c r="AO10" s="584" t="s">
        <v>36</v>
      </c>
      <c r="AP10" s="585"/>
      <c r="AQ10" s="586"/>
      <c r="AR10" s="2"/>
      <c r="AV10" s="154" cm="1">
        <f t="array" ref="AV10" xml:space="preserve"> ROW() - ROW($8:$8)</f>
        <v>2</v>
      </c>
      <c r="AW10" s="330" t="s">
        <v>164</v>
      </c>
      <c r="AX10" s="331" t="s">
        <v>9</v>
      </c>
      <c r="AY10" s="332" t="s">
        <v>9</v>
      </c>
      <c r="AZ10" s="333" t="s">
        <v>754</v>
      </c>
      <c r="BC10" s="339" cm="1">
        <f t="array" ref="BC10" xml:space="preserve"> ROW() - ROW($8:$8)</f>
        <v>2</v>
      </c>
      <c r="BD10" s="340" t="str">
        <f>表格7_9[[#This Row],[注音符號]]</f>
        <v>ㄆ</v>
      </c>
      <c r="BE10" s="341" t="str">
        <f t="shared" si="3"/>
        <v>q</v>
      </c>
      <c r="BF10" s="342" t="str">
        <f t="shared" si="4"/>
        <v>q</v>
      </c>
      <c r="BI10" s="350" t="s">
        <v>681</v>
      </c>
      <c r="BJ10" s="349" t="str">
        <f t="shared" si="5"/>
        <v>iu</v>
      </c>
      <c r="BK10" s="348" t="str">
        <f t="shared" si="0"/>
        <v>iou</v>
      </c>
      <c r="BL10" s="346">
        <f t="shared" si="1"/>
        <v>19</v>
      </c>
      <c r="BM10" s="346">
        <f t="shared" si="2"/>
        <v>15</v>
      </c>
    </row>
    <row r="11" spans="1:65" s="11" customFormat="1" ht="42.75" customHeight="1" thickBot="1">
      <c r="A11"/>
      <c r="B11"/>
      <c r="C11" s="4"/>
      <c r="D11" s="4"/>
      <c r="E11" s="31" t="str">
        <f ca="1">E4</f>
        <v>ㄆ</v>
      </c>
      <c r="F11" s="32" t="str">
        <f ca="1">E5</f>
        <v>p</v>
      </c>
      <c r="G11" s="107" t="str">
        <f ca="1">E6</f>
        <v>p</v>
      </c>
      <c r="H11" s="31" t="str">
        <f ca="1">I4</f>
        <v>ㄊ</v>
      </c>
      <c r="I11" s="32" t="str">
        <f ca="1">I5</f>
        <v>t</v>
      </c>
      <c r="J11" s="5" t="s">
        <v>40</v>
      </c>
      <c r="K11" s="31" t="str">
        <f ca="1">L4</f>
        <v>ㄍ</v>
      </c>
      <c r="L11" s="32" t="str">
        <f ca="1">L5</f>
        <v>g</v>
      </c>
      <c r="M11" s="108" t="str">
        <f ca="1">L6</f>
        <v>g</v>
      </c>
      <c r="N11" s="298" t="str">
        <f ca="1">O4</f>
        <v>ㄐ</v>
      </c>
      <c r="O11" s="32" t="str">
        <f ca="1">O5</f>
        <v>j</v>
      </c>
      <c r="P11" s="107" t="str">
        <f ca="1">O6</f>
        <v>j</v>
      </c>
      <c r="Q11" s="31" t="str">
        <f ca="1">S4</f>
        <v>ㄔ</v>
      </c>
      <c r="R11" s="32" t="str">
        <f ca="1">S5</f>
        <v>C</v>
      </c>
      <c r="S11" s="107" t="str">
        <f ca="1">S6</f>
        <v>ch</v>
      </c>
      <c r="T11" s="309" t="str">
        <f ca="1">V4</f>
        <v>ㄗ</v>
      </c>
      <c r="U11" s="32" t="str">
        <f ca="1">V5</f>
        <v>z</v>
      </c>
      <c r="V11" s="108" t="str">
        <f ca="1">V6</f>
        <v>z</v>
      </c>
      <c r="W11" s="308" t="str">
        <f ca="1">Y4</f>
        <v>ㄧ</v>
      </c>
      <c r="X11" s="36" t="str">
        <f ca="1">Y5</f>
        <v>i</v>
      </c>
      <c r="Y11" s="109" t="str">
        <f ca="1">Y6</f>
        <v>i</v>
      </c>
      <c r="Z11" s="308" t="str">
        <f ca="1">AC4</f>
        <v>ㄛ</v>
      </c>
      <c r="AA11" s="36" t="str">
        <f ca="1">AC5</f>
        <v>o</v>
      </c>
      <c r="AB11" s="110" t="str">
        <f ca="1">AC6</f>
        <v>o</v>
      </c>
      <c r="AC11" s="308" t="str">
        <f ca="1">AG4</f>
        <v>ㄟ</v>
      </c>
      <c r="AD11" s="36" t="str">
        <f ca="1">AG5</f>
        <v>I</v>
      </c>
      <c r="AE11" s="111" t="str">
        <f ca="1">AG6</f>
        <v>ei</v>
      </c>
      <c r="AF11" s="308" t="str">
        <f ca="1">AK4</f>
        <v>ㄣ</v>
      </c>
      <c r="AG11" s="36" t="str">
        <f ca="1">AK5</f>
        <v>N</v>
      </c>
      <c r="AH11" s="109" t="str">
        <f ca="1">AK6</f>
        <v>enn</v>
      </c>
      <c r="AI11" s="587"/>
      <c r="AJ11" s="588"/>
      <c r="AK11" s="8"/>
      <c r="AL11" s="587"/>
      <c r="AM11" s="588"/>
      <c r="AN11" s="8"/>
      <c r="AO11" s="587"/>
      <c r="AP11" s="588"/>
      <c r="AQ11" s="8"/>
      <c r="AR11" s="2"/>
      <c r="AV11" s="154" cm="1">
        <f t="array" ref="AV11" xml:space="preserve"> ROW() - ROW($8:$8)</f>
        <v>3</v>
      </c>
      <c r="AW11" s="330" t="s">
        <v>21</v>
      </c>
      <c r="AX11" s="331" t="s">
        <v>66</v>
      </c>
      <c r="AY11" s="332" t="s">
        <v>66</v>
      </c>
      <c r="AZ11" s="333" t="s">
        <v>755</v>
      </c>
      <c r="BC11" s="339" cm="1">
        <f t="array" ref="BC11" xml:space="preserve"> ROW() - ROW($8:$8)</f>
        <v>3</v>
      </c>
      <c r="BD11" s="340" t="str">
        <f>表格7_9[[#This Row],[注音符號]]</f>
        <v>ㄇ</v>
      </c>
      <c r="BE11" s="341" t="str">
        <f t="shared" si="3"/>
        <v>a</v>
      </c>
      <c r="BF11" s="342" t="str">
        <f t="shared" si="4"/>
        <v>a</v>
      </c>
      <c r="BI11" s="350" t="s">
        <v>682</v>
      </c>
      <c r="BJ11" s="349" t="str">
        <f t="shared" si="5"/>
        <v>ui</v>
      </c>
      <c r="BK11" s="348" t="str">
        <f t="shared" si="0"/>
        <v>uei</v>
      </c>
      <c r="BL11" s="346">
        <f t="shared" si="1"/>
        <v>19</v>
      </c>
      <c r="BM11" s="346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581" t="s">
        <v>210</v>
      </c>
      <c r="G12" s="582"/>
      <c r="H12" s="583"/>
      <c r="I12" s="581" t="s">
        <v>56</v>
      </c>
      <c r="J12" s="582"/>
      <c r="K12" s="583"/>
      <c r="L12" s="581" t="s">
        <v>57</v>
      </c>
      <c r="M12" s="582"/>
      <c r="N12" s="583"/>
      <c r="O12" s="581" t="s">
        <v>58</v>
      </c>
      <c r="P12" s="582"/>
      <c r="Q12" s="583"/>
      <c r="R12" s="581" t="s">
        <v>59</v>
      </c>
      <c r="S12" s="582"/>
      <c r="T12" s="583"/>
      <c r="U12" s="581" t="s">
        <v>60</v>
      </c>
      <c r="V12" s="582"/>
      <c r="W12" s="583"/>
      <c r="X12" s="306"/>
      <c r="Y12" s="302" t="s">
        <v>645</v>
      </c>
      <c r="Z12" s="307"/>
      <c r="AA12" s="589" t="s">
        <v>62</v>
      </c>
      <c r="AB12" s="590"/>
      <c r="AC12" s="591"/>
      <c r="AD12" s="306"/>
      <c r="AE12" s="302" t="s">
        <v>627</v>
      </c>
      <c r="AF12" s="307"/>
      <c r="AG12" s="589" t="s">
        <v>64</v>
      </c>
      <c r="AH12" s="590"/>
      <c r="AI12" s="591"/>
      <c r="AJ12" s="584" t="s">
        <v>65</v>
      </c>
      <c r="AK12" s="585"/>
      <c r="AL12" s="586"/>
      <c r="AM12" s="2"/>
      <c r="AN12" s="2"/>
      <c r="AO12" s="2"/>
      <c r="AP12" s="2"/>
      <c r="AQ12" s="2"/>
      <c r="AR12" s="2"/>
      <c r="AS12" s="2"/>
      <c r="AT12" s="2"/>
      <c r="AU12" s="2"/>
      <c r="AV12" s="154" cm="1">
        <f t="array" ref="AV12" xml:space="preserve"> ROW() - ROW($8:$8)</f>
        <v>4</v>
      </c>
      <c r="AW12" s="330" t="s">
        <v>165</v>
      </c>
      <c r="AX12" s="331" t="s">
        <v>173</v>
      </c>
      <c r="AY12" s="332" t="s">
        <v>173</v>
      </c>
      <c r="AZ12" s="333" t="s">
        <v>756</v>
      </c>
      <c r="BC12" s="339" cm="1">
        <f t="array" ref="BC12" xml:space="preserve"> ROW() - ROW($8:$8)</f>
        <v>4</v>
      </c>
      <c r="BD12" s="340" t="str">
        <f>表格7_9[[#This Row],[注音符號]]</f>
        <v>ㄈ</v>
      </c>
      <c r="BE12" s="341" t="str">
        <f t="shared" si="3"/>
        <v>z</v>
      </c>
      <c r="BF12" s="342" t="str">
        <f t="shared" si="4"/>
        <v>z</v>
      </c>
      <c r="BI12" s="350" t="s">
        <v>683</v>
      </c>
      <c r="BJ12" s="349" t="str">
        <f t="shared" si="5"/>
        <v>ong</v>
      </c>
      <c r="BK12" s="348" t="str">
        <f t="shared" si="0"/>
        <v>ung</v>
      </c>
      <c r="BL12" s="346">
        <f t="shared" si="1"/>
        <v>20</v>
      </c>
      <c r="BM12" s="346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31" t="str">
        <f ca="1">F4</f>
        <v>ㄇ</v>
      </c>
      <c r="G13" s="32" t="str">
        <f ca="1">F5</f>
        <v>m</v>
      </c>
      <c r="H13" s="107" t="str">
        <f ca="1">F6</f>
        <v>m</v>
      </c>
      <c r="I13" s="31" t="str">
        <f ca="1">J4</f>
        <v>ㄋ</v>
      </c>
      <c r="J13" s="32" t="str">
        <f ca="1">J5</f>
        <v>n</v>
      </c>
      <c r="K13" s="5" t="s">
        <v>68</v>
      </c>
      <c r="L13" s="31" t="str">
        <f ca="1">M4</f>
        <v>ㄎ</v>
      </c>
      <c r="M13" s="32" t="str">
        <f ca="1">M5</f>
        <v>k</v>
      </c>
      <c r="N13" s="107" t="str">
        <f ca="1">M6</f>
        <v>k</v>
      </c>
      <c r="O13" s="298" t="str">
        <f ca="1">P4</f>
        <v>ㄑ</v>
      </c>
      <c r="P13" s="32" t="str">
        <f ca="1">P5</f>
        <v>q</v>
      </c>
      <c r="Q13" s="107" t="str">
        <f ca="1">P6</f>
        <v>q</v>
      </c>
      <c r="R13" s="106" t="str">
        <f ca="1">T4</f>
        <v>ㄕ</v>
      </c>
      <c r="S13" s="32" t="str">
        <f ca="1">T5</f>
        <v>S</v>
      </c>
      <c r="T13" s="107" t="str">
        <f ca="1">T6</f>
        <v>sh</v>
      </c>
      <c r="U13" s="309" t="str">
        <f ca="1">W4</f>
        <v>ㄘ</v>
      </c>
      <c r="V13" s="32" t="str">
        <f ca="1">W5</f>
        <v>c</v>
      </c>
      <c r="W13" s="107" t="str">
        <f ca="1">W6</f>
        <v>ch</v>
      </c>
      <c r="X13" s="308" t="str">
        <f ca="1">Z4</f>
        <v>ㄨ</v>
      </c>
      <c r="Y13" s="36" t="str">
        <f ca="1">Z5</f>
        <v>u</v>
      </c>
      <c r="Z13" s="109" t="str">
        <f ca="1">Z6</f>
        <v>u</v>
      </c>
      <c r="AA13" s="308" t="str">
        <f ca="1">AD4</f>
        <v>ㄜ</v>
      </c>
      <c r="AB13" s="36" t="str">
        <f ca="1">AD5</f>
        <v>e</v>
      </c>
      <c r="AC13" s="110" t="str">
        <f ca="1">AD6</f>
        <v>e</v>
      </c>
      <c r="AD13" s="308" t="str">
        <f ca="1">AH4</f>
        <v>ㄠ</v>
      </c>
      <c r="AE13" s="36" t="str">
        <f ca="1">AH5</f>
        <v>O</v>
      </c>
      <c r="AF13" s="109" t="str">
        <f ca="1">AH6</f>
        <v>ao</v>
      </c>
      <c r="AG13" s="308" t="str">
        <f ca="1">AL4</f>
        <v>ㄤ</v>
      </c>
      <c r="AH13" s="36" t="str">
        <f ca="1">AL5</f>
        <v>K</v>
      </c>
      <c r="AI13" s="109" t="str">
        <f ca="1">AL6</f>
        <v>ang</v>
      </c>
      <c r="AJ13" s="587"/>
      <c r="AK13" s="588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54" cm="1">
        <f t="array" ref="AV13" xml:space="preserve"> ROW() - ROW($8:$8)</f>
        <v>5</v>
      </c>
      <c r="AW13" s="330" t="s">
        <v>169</v>
      </c>
      <c r="AX13" s="331" t="s">
        <v>163</v>
      </c>
      <c r="AY13" s="332" t="s">
        <v>163</v>
      </c>
      <c r="AZ13" s="333" t="s">
        <v>757</v>
      </c>
      <c r="BC13" s="339" cm="1">
        <f t="array" ref="BC13" xml:space="preserve"> ROW() - ROW($8:$8)</f>
        <v>5</v>
      </c>
      <c r="BD13" s="340" t="str">
        <f>表格7_9[[#This Row],[注音符號]]</f>
        <v>ㄉ</v>
      </c>
      <c r="BE13" s="341" t="str">
        <f t="shared" si="3"/>
        <v>2</v>
      </c>
      <c r="BF13" s="342" t="str">
        <f t="shared" si="4"/>
        <v>2</v>
      </c>
      <c r="BI13" s="350" t="s">
        <v>684</v>
      </c>
      <c r="BJ13" s="349" t="str">
        <f t="shared" si="5"/>
        <v>^yi?</v>
      </c>
      <c r="BK13" s="348" t="str">
        <f t="shared" si="0"/>
        <v>i</v>
      </c>
      <c r="BL13" s="346">
        <f t="shared" si="1"/>
        <v>19</v>
      </c>
      <c r="BM13" s="346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581" t="s">
        <v>206</v>
      </c>
      <c r="H14" s="582"/>
      <c r="I14" s="583"/>
      <c r="J14" s="581" t="s">
        <v>82</v>
      </c>
      <c r="K14" s="582"/>
      <c r="L14" s="583"/>
      <c r="M14" s="581" t="s">
        <v>83</v>
      </c>
      <c r="N14" s="582"/>
      <c r="O14" s="583"/>
      <c r="P14" s="581" t="s">
        <v>84</v>
      </c>
      <c r="Q14" s="582"/>
      <c r="R14" s="583"/>
      <c r="S14" s="581" t="s">
        <v>85</v>
      </c>
      <c r="T14" s="582"/>
      <c r="U14" s="583"/>
      <c r="V14" s="581" t="s">
        <v>86</v>
      </c>
      <c r="W14" s="582"/>
      <c r="X14" s="583"/>
      <c r="Y14" s="589" t="s">
        <v>87</v>
      </c>
      <c r="Z14" s="590"/>
      <c r="AA14" s="591"/>
      <c r="AB14" s="306"/>
      <c r="AC14" s="302" t="s">
        <v>661</v>
      </c>
      <c r="AD14" s="307"/>
      <c r="AE14" s="589" t="s">
        <v>88</v>
      </c>
      <c r="AF14" s="590"/>
      <c r="AG14" s="591"/>
      <c r="AH14" s="584" t="s">
        <v>89</v>
      </c>
      <c r="AI14" s="585"/>
      <c r="AJ14" s="586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54" cm="1">
        <f t="array" ref="AV14" xml:space="preserve"> ROW() - ROW($8:$8)</f>
        <v>6</v>
      </c>
      <c r="AW14" s="330" t="s">
        <v>170</v>
      </c>
      <c r="AX14" s="331" t="s">
        <v>11</v>
      </c>
      <c r="AY14" s="332" t="s">
        <v>11</v>
      </c>
      <c r="AZ14" s="333" t="s">
        <v>758</v>
      </c>
      <c r="BC14" s="339" cm="1">
        <f t="array" ref="BC14" xml:space="preserve"> ROW() - ROW($8:$8)</f>
        <v>6</v>
      </c>
      <c r="BD14" s="340" t="str">
        <f>表格7_9[[#This Row],[注音符號]]</f>
        <v>ㄊ</v>
      </c>
      <c r="BE14" s="341" t="str">
        <f t="shared" si="3"/>
        <v>w</v>
      </c>
      <c r="BF14" s="342" t="str">
        <f t="shared" si="4"/>
        <v>w</v>
      </c>
      <c r="BI14" s="350" t="s">
        <v>685</v>
      </c>
      <c r="BJ14" s="349" t="str">
        <f t="shared" si="5"/>
        <v>^wu?</v>
      </c>
      <c r="BK14" s="348" t="str">
        <f t="shared" si="0"/>
        <v>u</v>
      </c>
      <c r="BL14" s="346">
        <f t="shared" si="1"/>
        <v>19</v>
      </c>
      <c r="BM14" s="346">
        <f t="shared" si="2"/>
        <v>17</v>
      </c>
    </row>
    <row r="15" spans="1:65" ht="42.75" customHeight="1" thickBot="1">
      <c r="C15" s="4"/>
      <c r="D15" s="4"/>
      <c r="E15" s="4"/>
      <c r="F15" s="4"/>
      <c r="G15" s="31" t="str">
        <f ca="1">G4</f>
        <v>ㄈ</v>
      </c>
      <c r="H15" s="32" t="str">
        <f ca="1">G5</f>
        <v>f</v>
      </c>
      <c r="I15" s="107" t="str">
        <f ca="1">G6</f>
        <v>f</v>
      </c>
      <c r="J15" s="31" t="str">
        <f ca="1">K4</f>
        <v>ㄌ</v>
      </c>
      <c r="K15" s="32" t="str">
        <f ca="1">K5</f>
        <v>l</v>
      </c>
      <c r="L15" s="5" t="s">
        <v>93</v>
      </c>
      <c r="M15" s="31" t="str">
        <f ca="1">N4</f>
        <v>ㄏ</v>
      </c>
      <c r="N15" s="32" t="str">
        <f ca="1">N5</f>
        <v>h</v>
      </c>
      <c r="O15" s="107" t="str">
        <f ca="1">N6</f>
        <v>h</v>
      </c>
      <c r="P15" s="298" t="str">
        <f ca="1">Q4</f>
        <v>ㄒ</v>
      </c>
      <c r="Q15" s="32" t="str">
        <f ca="1">Q5</f>
        <v>x</v>
      </c>
      <c r="R15" s="107" t="str">
        <f ca="1">Q6</f>
        <v>x</v>
      </c>
      <c r="S15" s="31" t="str">
        <f ca="1">U4</f>
        <v>ㄖ</v>
      </c>
      <c r="T15" s="32" t="str">
        <f ca="1">U5</f>
        <v>r</v>
      </c>
      <c r="U15" s="107" t="str">
        <f ca="1">U6</f>
        <v>r</v>
      </c>
      <c r="V15" s="309" t="str">
        <f ca="1">X4</f>
        <v>ㄙ</v>
      </c>
      <c r="W15" s="32" t="str">
        <f ca="1">X5</f>
        <v>s</v>
      </c>
      <c r="X15" s="107" t="str">
        <f ca="1">X6</f>
        <v>s</v>
      </c>
      <c r="Y15" s="308" t="str">
        <f ca="1">AA4</f>
        <v>ㄩ</v>
      </c>
      <c r="Z15" s="36" t="str">
        <f ca="1">AA5</f>
        <v>v</v>
      </c>
      <c r="AA15" s="110" t="str">
        <f ca="1">AA6</f>
        <v xml:space="preserve">ü </v>
      </c>
      <c r="AB15" s="308" t="str">
        <f ca="1">AF4</f>
        <v>ㄞ</v>
      </c>
      <c r="AC15" s="36" t="str">
        <f ca="1">AE5</f>
        <v>E</v>
      </c>
      <c r="AD15" s="109" t="str">
        <f ca="1">AE6</f>
        <v xml:space="preserve">ê </v>
      </c>
      <c r="AE15" s="37" t="str">
        <f ca="1">AI4</f>
        <v>ㄡ</v>
      </c>
      <c r="AF15" s="36" t="str">
        <f ca="1">AI5</f>
        <v>U</v>
      </c>
      <c r="AG15" s="110" t="str">
        <f ca="1">AI6</f>
        <v>ou</v>
      </c>
      <c r="AH15" s="308" t="str">
        <f ca="1">AM4</f>
        <v>ㄥ</v>
      </c>
      <c r="AI15" s="36" t="str">
        <f ca="1">AM5</f>
        <v>G</v>
      </c>
      <c r="AJ15" s="117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54" cm="1">
        <f t="array" ref="AV15" xml:space="preserve"> ROW() - ROW($8:$8)</f>
        <v>7</v>
      </c>
      <c r="AW15" s="330" t="s">
        <v>99</v>
      </c>
      <c r="AX15" s="331" t="s">
        <v>68</v>
      </c>
      <c r="AY15" s="332" t="s">
        <v>68</v>
      </c>
      <c r="AZ15" s="333" t="s">
        <v>759</v>
      </c>
      <c r="BC15" s="339" cm="1">
        <f t="array" ref="BC15" xml:space="preserve"> ROW() - ROW($8:$8)</f>
        <v>7</v>
      </c>
      <c r="BD15" s="340" t="str">
        <f>表格7_9[[#This Row],[注音符號]]</f>
        <v>ㄋ</v>
      </c>
      <c r="BE15" s="341" t="str">
        <f t="shared" si="3"/>
        <v>s</v>
      </c>
      <c r="BF15" s="342" t="str">
        <f t="shared" si="4"/>
        <v>s</v>
      </c>
      <c r="BI15" s="350" t="s">
        <v>686</v>
      </c>
      <c r="BJ15" s="349" t="str">
        <f t="shared" si="5"/>
        <v>iu</v>
      </c>
      <c r="BK15" s="348" t="str">
        <f t="shared" si="0"/>
        <v>v</v>
      </c>
      <c r="BL15" s="346">
        <f t="shared" si="1"/>
        <v>17</v>
      </c>
      <c r="BM15" s="346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54" cm="1">
        <f t="array" ref="AV16" xml:space="preserve"> ROW() - ROW($8:$8)</f>
        <v>8</v>
      </c>
      <c r="AW16" s="330" t="s">
        <v>171</v>
      </c>
      <c r="AX16" s="331" t="s">
        <v>93</v>
      </c>
      <c r="AY16" s="332" t="s">
        <v>93</v>
      </c>
      <c r="AZ16" s="333" t="s">
        <v>760</v>
      </c>
      <c r="BC16" s="339" cm="1">
        <f t="array" ref="BC16" xml:space="preserve"> ROW() - ROW($8:$8)</f>
        <v>8</v>
      </c>
      <c r="BD16" s="340" t="str">
        <f>表格7_9[[#This Row],[注音符號]]</f>
        <v>ㄌ</v>
      </c>
      <c r="BE16" s="341" t="str">
        <f t="shared" si="3"/>
        <v>x</v>
      </c>
      <c r="BF16" s="342" t="str">
        <f t="shared" si="4"/>
        <v>x</v>
      </c>
      <c r="BI16" s="350" t="s">
        <v>687</v>
      </c>
      <c r="BJ16" s="349" t="str">
        <f t="shared" si="5"/>
        <v>^([jqx])u</v>
      </c>
      <c r="BK16" s="348" t="str">
        <f t="shared" si="0"/>
        <v>$1v</v>
      </c>
      <c r="BL16" s="346">
        <f t="shared" si="1"/>
        <v>26</v>
      </c>
      <c r="BM16" s="346">
        <f t="shared" si="2"/>
        <v>22</v>
      </c>
    </row>
    <row r="17" spans="1:65" s="12" customFormat="1" ht="38.1" customHeight="1">
      <c r="B17" s="121" t="s">
        <v>262</v>
      </c>
      <c r="AV17" s="154" cm="1">
        <f t="array" ref="AV17" xml:space="preserve"> ROW() - ROW($8:$8)</f>
        <v>9</v>
      </c>
      <c r="AW17" s="330" t="s">
        <v>53</v>
      </c>
      <c r="AX17" s="331" t="s">
        <v>45</v>
      </c>
      <c r="AY17" s="332" t="s">
        <v>45</v>
      </c>
      <c r="AZ17" s="333" t="s">
        <v>761</v>
      </c>
      <c r="BC17" s="339" cm="1">
        <f t="array" ref="BC17" xml:space="preserve"> ROW() - ROW($8:$8)</f>
        <v>9</v>
      </c>
      <c r="BD17" s="340" t="str">
        <f>表格7_9[[#This Row],[注音符號]]</f>
        <v>ㄍ</v>
      </c>
      <c r="BE17" s="341" t="str">
        <f t="shared" si="3"/>
        <v>e</v>
      </c>
      <c r="BF17" s="342" t="str">
        <f t="shared" si="4"/>
        <v>e</v>
      </c>
      <c r="BI17" s="350" t="s">
        <v>688</v>
      </c>
      <c r="BJ17" s="349" t="str">
        <f t="shared" si="5"/>
        <v>([iuv])n</v>
      </c>
      <c r="BK17" s="348" t="str">
        <f t="shared" si="0"/>
        <v>$1en</v>
      </c>
      <c r="BL17" s="346">
        <f t="shared" si="1"/>
        <v>26</v>
      </c>
      <c r="BM17" s="346">
        <f t="shared" si="2"/>
        <v>21</v>
      </c>
    </row>
    <row r="18" spans="1:65" s="12" customFormat="1" ht="38.1" customHeight="1">
      <c r="B18" s="41" t="s">
        <v>260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12" t="s">
        <v>593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154" cm="1">
        <f t="array" ref="AV18" xml:space="preserve"> ROW() - ROW($8:$8)</f>
        <v>10</v>
      </c>
      <c r="AW18" s="330" t="s">
        <v>163</v>
      </c>
      <c r="AX18" s="331" t="s">
        <v>42</v>
      </c>
      <c r="AY18" s="332" t="s">
        <v>42</v>
      </c>
      <c r="AZ18" s="333" t="s">
        <v>762</v>
      </c>
      <c r="BC18" s="339" cm="1">
        <f t="array" ref="BC18" xml:space="preserve"> ROW() - ROW($8:$8)</f>
        <v>10</v>
      </c>
      <c r="BD18" s="340" t="str">
        <f>表格7_9[[#This Row],[注音符號]]</f>
        <v>ㄎ</v>
      </c>
      <c r="BE18" s="341" t="str">
        <f t="shared" si="3"/>
        <v>d</v>
      </c>
      <c r="BF18" s="342" t="str">
        <f t="shared" si="4"/>
        <v>d</v>
      </c>
      <c r="BI18" s="350" t="s">
        <v>689</v>
      </c>
      <c r="BJ18" s="349" t="str">
        <f t="shared" si="5"/>
        <v>^zhi?</v>
      </c>
      <c r="BK18" s="348" t="str">
        <f t="shared" si="0"/>
        <v>Z</v>
      </c>
      <c r="BL18" s="346">
        <f t="shared" si="1"/>
        <v>20</v>
      </c>
      <c r="BM18" s="346">
        <f t="shared" si="2"/>
        <v>18</v>
      </c>
    </row>
    <row r="19" spans="1:65" s="12" customFormat="1" ht="38.1" customHeight="1">
      <c r="B19" s="44" t="str">
        <f>B5</f>
        <v>字典編碼</v>
      </c>
      <c r="C19" s="158">
        <f ca="1" xml:space="preserve"> LEN(D19)</f>
        <v>42</v>
      </c>
      <c r="D19" s="45" t="str">
        <f ca="1" xml:space="preserve"> _xlfn.CONCAT(D5:AS5)</f>
        <v>bpmfdtnlgkhjqxZCSrzcsiuvaoeEAIOUMNKGR12345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154" cm="1">
        <f t="array" ref="AV19" xml:space="preserve"> ROW() - ROW($8:$8)</f>
        <v>11</v>
      </c>
      <c r="AW19" s="330" t="s">
        <v>166</v>
      </c>
      <c r="AX19" s="331" t="s">
        <v>95</v>
      </c>
      <c r="AY19" s="332" t="s">
        <v>95</v>
      </c>
      <c r="AZ19" s="333" t="s">
        <v>763</v>
      </c>
      <c r="BC19" s="339" cm="1">
        <f t="array" ref="BC19" xml:space="preserve"> ROW() - ROW($8:$8)</f>
        <v>11</v>
      </c>
      <c r="BD19" s="340" t="str">
        <f>表格7_9[[#This Row],[注音符號]]</f>
        <v>ㄏ</v>
      </c>
      <c r="BE19" s="341" t="str">
        <f t="shared" si="3"/>
        <v>c</v>
      </c>
      <c r="BF19" s="342" t="str">
        <f t="shared" si="4"/>
        <v>c</v>
      </c>
      <c r="BI19" s="350" t="s">
        <v>690</v>
      </c>
      <c r="BJ19" s="349" t="str">
        <f t="shared" si="5"/>
        <v>^chi?</v>
      </c>
      <c r="BK19" s="348" t="str">
        <f t="shared" si="0"/>
        <v>C</v>
      </c>
      <c r="BL19" s="346">
        <f t="shared" si="1"/>
        <v>20</v>
      </c>
      <c r="BM19" s="346">
        <f t="shared" si="2"/>
        <v>18</v>
      </c>
    </row>
    <row r="20" spans="1:65" s="12" customFormat="1" ht="38.1" customHeight="1">
      <c r="B20" s="51" t="str">
        <f>B3</f>
        <v>鍵盤位置</v>
      </c>
      <c r="C20" s="157">
        <f>LEN(D20)</f>
        <v>42</v>
      </c>
      <c r="D20" s="53" t="str">
        <f xml:space="preserve"> _xlfn.CONCAT(D3:AU3)</f>
        <v>1qaz2wsxedcrfv5tgbyhnujm8ik,9ol.0p;/- 6347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154" cm="1">
        <f t="array" ref="AV20" xml:space="preserve"> ROW() - ROW($8:$8)</f>
        <v>12</v>
      </c>
      <c r="AW20" s="330" t="s">
        <v>172</v>
      </c>
      <c r="AX20" s="331" t="s">
        <v>97</v>
      </c>
      <c r="AY20" s="332" t="s">
        <v>97</v>
      </c>
      <c r="AZ20" s="333" t="s">
        <v>764</v>
      </c>
      <c r="BC20" s="339" cm="1">
        <f t="array" ref="BC20" xml:space="preserve"> ROW() - ROW($8:$8)</f>
        <v>12</v>
      </c>
      <c r="BD20" s="340" t="str">
        <f>表格7_9[[#This Row],[注音符號]]</f>
        <v>ㄐ</v>
      </c>
      <c r="BE20" s="341" t="str">
        <f t="shared" si="3"/>
        <v>r</v>
      </c>
      <c r="BF20" s="342" t="str">
        <f t="shared" si="4"/>
        <v>r</v>
      </c>
      <c r="BI20" s="350" t="s">
        <v>691</v>
      </c>
      <c r="BJ20" s="349" t="str">
        <f t="shared" si="5"/>
        <v>^shi?</v>
      </c>
      <c r="BK20" s="348" t="str">
        <f t="shared" si="0"/>
        <v>S</v>
      </c>
      <c r="BL20" s="346">
        <f t="shared" si="1"/>
        <v>20</v>
      </c>
      <c r="BM20" s="346">
        <f t="shared" si="2"/>
        <v>18</v>
      </c>
    </row>
    <row r="21" spans="1:65" s="12" customFormat="1" ht="38.1" customHeight="1">
      <c r="B21" s="120" t="str">
        <f ca="1" xml:space="preserve"> "- xlit|" &amp; D19 &amp; "|" &amp; D20 &amp; "|"</f>
        <v>- xlit|bpmfdtnlgkhjqxZCSrzcsiuvaoeEAIOUMNKGR12345|1qaz2wsxedcrfv5tgbyhnujm8ik,9ol.0p;/- 6347|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40"/>
      <c r="AF21" s="40"/>
      <c r="AG21" s="40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154" cm="1">
        <f t="array" ref="AV21" xml:space="preserve"> ROW() - ROW($8:$8)</f>
        <v>13</v>
      </c>
      <c r="AW21" s="330" t="s">
        <v>173</v>
      </c>
      <c r="AX21" s="331" t="s">
        <v>164</v>
      </c>
      <c r="AY21" s="332" t="s">
        <v>164</v>
      </c>
      <c r="AZ21" s="333" t="s">
        <v>765</v>
      </c>
      <c r="BC21" s="339" cm="1">
        <f t="array" ref="BC21" xml:space="preserve"> ROW() - ROW($8:$8)</f>
        <v>13</v>
      </c>
      <c r="BD21" s="340" t="str">
        <f>表格7_9[[#This Row],[注音符號]]</f>
        <v>ㄑ</v>
      </c>
      <c r="BE21" s="341" t="str">
        <f t="shared" si="3"/>
        <v>f</v>
      </c>
      <c r="BF21" s="342" t="str">
        <f t="shared" si="4"/>
        <v>f</v>
      </c>
      <c r="BI21" s="350" t="s">
        <v>692</v>
      </c>
      <c r="BJ21" s="349" t="str">
        <f t="shared" si="5"/>
        <v>^([zcsr])i</v>
      </c>
      <c r="BK21" s="348" t="str">
        <f t="shared" si="0"/>
        <v>$1</v>
      </c>
      <c r="BL21" s="346">
        <f t="shared" si="1"/>
        <v>26</v>
      </c>
      <c r="BM21" s="346">
        <f t="shared" si="2"/>
        <v>23</v>
      </c>
    </row>
    <row r="22" spans="1:65" s="12" customFormat="1" ht="38.1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154" cm="1">
        <f t="array" ref="AV22" xml:space="preserve"> ROW() - ROW($8:$8)</f>
        <v>14</v>
      </c>
      <c r="AW22" s="330" t="s">
        <v>174</v>
      </c>
      <c r="AX22" s="331" t="s">
        <v>171</v>
      </c>
      <c r="AY22" s="332" t="s">
        <v>171</v>
      </c>
      <c r="AZ22" s="333" t="s">
        <v>766</v>
      </c>
      <c r="BC22" s="339" cm="1">
        <f t="array" ref="BC22" xml:space="preserve"> ROW() - ROW($8:$8)</f>
        <v>14</v>
      </c>
      <c r="BD22" s="340" t="str">
        <f>表格7_9[[#This Row],[注音符號]]</f>
        <v>ㄒ</v>
      </c>
      <c r="BE22" s="341" t="str">
        <f t="shared" si="3"/>
        <v>v</v>
      </c>
      <c r="BF22" s="342" t="str">
        <f t="shared" si="4"/>
        <v>v</v>
      </c>
      <c r="BI22" s="350" t="s">
        <v>693</v>
      </c>
      <c r="BJ22" s="349" t="str">
        <f t="shared" si="5"/>
        <v>ai</v>
      </c>
      <c r="BK22" s="348" t="str">
        <f t="shared" si="0"/>
        <v>A</v>
      </c>
      <c r="BL22" s="346">
        <f t="shared" si="1"/>
        <v>17</v>
      </c>
      <c r="BM22" s="346">
        <f t="shared" si="2"/>
        <v>15</v>
      </c>
    </row>
    <row r="23" spans="1:65" s="12" customFormat="1" ht="38.1" customHeight="1">
      <c r="B23" s="122" t="s">
        <v>263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154" cm="1">
        <f t="array" ref="AV23" xml:space="preserve"> ROW() - ROW($8:$8)</f>
        <v>15</v>
      </c>
      <c r="AW23" s="330" t="s">
        <v>189</v>
      </c>
      <c r="AX23" s="331" t="s">
        <v>707</v>
      </c>
      <c r="AY23" s="332" t="s">
        <v>713</v>
      </c>
      <c r="AZ23" s="333" t="s">
        <v>767</v>
      </c>
      <c r="BC23" s="339" cm="1">
        <f t="array" ref="BC23" xml:space="preserve"> ROW() - ROW($8:$8)</f>
        <v>15</v>
      </c>
      <c r="BD23" s="340" t="str">
        <f>表格7_9[[#This Row],[注音符號]]</f>
        <v>ㄓ</v>
      </c>
      <c r="BE23" s="341" t="str">
        <f t="shared" si="3"/>
        <v>5</v>
      </c>
      <c r="BF23" s="342" t="str">
        <f t="shared" si="4"/>
        <v>5</v>
      </c>
      <c r="BI23" s="350" t="s">
        <v>694</v>
      </c>
      <c r="BJ23" s="349" t="str">
        <f t="shared" si="5"/>
        <v>ei</v>
      </c>
      <c r="BK23" s="348" t="str">
        <f t="shared" si="0"/>
        <v>I</v>
      </c>
      <c r="BL23" s="346">
        <f t="shared" si="1"/>
        <v>17</v>
      </c>
      <c r="BM23" s="346">
        <f t="shared" si="2"/>
        <v>15</v>
      </c>
    </row>
    <row r="24" spans="1:65" s="12" customFormat="1" ht="38.1" customHeight="1">
      <c r="B24" s="41" t="s">
        <v>261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2" t="s">
        <v>597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154" cm="1">
        <f t="array" ref="AV24" xml:space="preserve"> ROW() - ROW($8:$8)</f>
        <v>16</v>
      </c>
      <c r="AW24" s="330" t="s">
        <v>11</v>
      </c>
      <c r="AX24" s="331" t="s">
        <v>83</v>
      </c>
      <c r="AY24" s="332" t="s">
        <v>708</v>
      </c>
      <c r="AZ24" s="333" t="s">
        <v>768</v>
      </c>
      <c r="BC24" s="339" cm="1">
        <f t="array" ref="BC24" xml:space="preserve"> ROW() - ROW($8:$8)</f>
        <v>16</v>
      </c>
      <c r="BD24" s="340" t="str">
        <f>表格7_9[[#This Row],[注音符號]]</f>
        <v>ㄔ</v>
      </c>
      <c r="BE24" s="341" t="str">
        <f t="shared" si="3"/>
        <v>t</v>
      </c>
      <c r="BF24" s="342" t="str">
        <f t="shared" si="4"/>
        <v>t</v>
      </c>
      <c r="BI24" s="350" t="s">
        <v>695</v>
      </c>
      <c r="BJ24" s="349" t="str">
        <f t="shared" si="5"/>
        <v>ao</v>
      </c>
      <c r="BK24" s="348" t="str">
        <f t="shared" si="0"/>
        <v>O</v>
      </c>
      <c r="BL24" s="346">
        <f t="shared" si="1"/>
        <v>17</v>
      </c>
      <c r="BM24" s="346">
        <f t="shared" si="2"/>
        <v>15</v>
      </c>
    </row>
    <row r="25" spans="1:65" ht="38.1" customHeight="1">
      <c r="A25" s="12"/>
      <c r="B25" s="54" t="str">
        <f>B3</f>
        <v>鍵盤位置</v>
      </c>
      <c r="C25" s="159">
        <f xml:space="preserve"> LEN(D25)</f>
        <v>42</v>
      </c>
      <c r="D25" s="52" t="str">
        <f xml:space="preserve"> _xlfn.CONCAT(D3:AS3)</f>
        <v>1qaz2wsxedcrfv5tgbyhnujm8ik,9ol.0p;/- 6347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154" cm="1">
        <f t="array" ref="AV25" xml:space="preserve"> ROW() - ROW($8:$8)</f>
        <v>17</v>
      </c>
      <c r="AW25" s="330" t="s">
        <v>45</v>
      </c>
      <c r="AX25" s="331" t="s">
        <v>56</v>
      </c>
      <c r="AY25" s="332" t="s">
        <v>715</v>
      </c>
      <c r="AZ25" s="333" t="s">
        <v>769</v>
      </c>
      <c r="BC25" s="339" cm="1">
        <f t="array" ref="BC25" xml:space="preserve"> ROW() - ROW($8:$8)</f>
        <v>17</v>
      </c>
      <c r="BD25" s="340" t="str">
        <f>表格7_9[[#This Row],[注音符號]]</f>
        <v>ㄕ</v>
      </c>
      <c r="BE25" s="341" t="str">
        <f t="shared" si="3"/>
        <v>g</v>
      </c>
      <c r="BF25" s="342" t="str">
        <f t="shared" si="4"/>
        <v>g</v>
      </c>
      <c r="BI25" s="350" t="s">
        <v>696</v>
      </c>
      <c r="BJ25" s="349" t="str">
        <f t="shared" si="5"/>
        <v>ou</v>
      </c>
      <c r="BK25" s="348" t="str">
        <f t="shared" si="0"/>
        <v>U</v>
      </c>
      <c r="BL25" s="346">
        <f t="shared" si="1"/>
        <v>17</v>
      </c>
      <c r="BM25" s="346">
        <f t="shared" si="2"/>
        <v>15</v>
      </c>
    </row>
    <row r="26" spans="1:65" ht="38.1" customHeight="1">
      <c r="B26" s="46" t="str">
        <f>B4</f>
        <v>注音符號</v>
      </c>
      <c r="C26" s="160">
        <f ca="1">LEN(D26)</f>
        <v>42</v>
      </c>
      <c r="D26" s="46" t="str">
        <f ca="1" xml:space="preserve"> _xlfn.CONCAT(D4:AS4)</f>
        <v>ㄅㄆㄇㄈㄉㄊㄋㄌㄍㄎㄏㄐㄑㄒㄓㄔㄕㄖㄗㄘㄙㄧㄨㄩㄚㄛㄜㄝㄞㄟㄠㄡㄢㄣㄤㄥㄦˉˊˇˋ˙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154" cm="1">
        <f t="array" ref="AV26" xml:space="preserve"> ROW() - ROW($8:$8)</f>
        <v>18</v>
      </c>
      <c r="AW26" s="330" t="s">
        <v>91</v>
      </c>
      <c r="AX26" s="331" t="s">
        <v>172</v>
      </c>
      <c r="AY26" s="332" t="s">
        <v>172</v>
      </c>
      <c r="AZ26" s="333" t="s">
        <v>770</v>
      </c>
      <c r="BC26" s="339" cm="1">
        <f t="array" ref="BC26" xml:space="preserve"> ROW() - ROW($8:$8)</f>
        <v>18</v>
      </c>
      <c r="BD26" s="340" t="str">
        <f>表格7_9[[#This Row],[注音符號]]</f>
        <v>ㄖ</v>
      </c>
      <c r="BE26" s="341" t="str">
        <f t="shared" si="3"/>
        <v>b</v>
      </c>
      <c r="BF26" s="342" t="str">
        <f t="shared" si="4"/>
        <v>b</v>
      </c>
      <c r="BI26" s="350" t="s">
        <v>697</v>
      </c>
      <c r="BJ26" s="349" t="str">
        <f t="shared" si="5"/>
        <v>ang</v>
      </c>
      <c r="BK26" s="348" t="str">
        <f t="shared" si="0"/>
        <v>K</v>
      </c>
      <c r="BL26" s="346">
        <f t="shared" si="1"/>
        <v>18</v>
      </c>
      <c r="BM26" s="346">
        <f t="shared" si="2"/>
        <v>16</v>
      </c>
    </row>
    <row r="27" spans="1:65" ht="38.1" customHeight="1">
      <c r="B27" s="120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0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154" cm="1">
        <f t="array" ref="AV27" xml:space="preserve"> ROW() - ROW($8:$8)</f>
        <v>19</v>
      </c>
      <c r="AW27" s="330" t="s">
        <v>175</v>
      </c>
      <c r="AX27" s="331" t="s">
        <v>165</v>
      </c>
      <c r="AY27" s="332" t="s">
        <v>165</v>
      </c>
      <c r="AZ27" s="333" t="s">
        <v>771</v>
      </c>
      <c r="BC27" s="339" cm="1">
        <f t="array" ref="BC27" xml:space="preserve"> ROW() - ROW($8:$8)</f>
        <v>19</v>
      </c>
      <c r="BD27" s="340" t="str">
        <f>表格7_9[[#This Row],[注音符號]]</f>
        <v>ㄗ</v>
      </c>
      <c r="BE27" s="341" t="str">
        <f t="shared" si="3"/>
        <v>y</v>
      </c>
      <c r="BF27" s="342" t="str">
        <f t="shared" si="4"/>
        <v>y</v>
      </c>
      <c r="BI27" s="350" t="s">
        <v>698</v>
      </c>
      <c r="BJ27" s="349" t="str">
        <f t="shared" si="5"/>
        <v>eng</v>
      </c>
      <c r="BK27" s="348" t="str">
        <f t="shared" si="0"/>
        <v>G</v>
      </c>
      <c r="BL27" s="346">
        <f t="shared" si="1"/>
        <v>18</v>
      </c>
      <c r="BM27" s="346">
        <f t="shared" si="2"/>
        <v>16</v>
      </c>
    </row>
    <row r="28" spans="1:65" ht="38.1" customHeight="1">
      <c r="B28" s="119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154" cm="1">
        <f t="array" ref="AV28" xml:space="preserve"> ROW() - ROW($8:$8)</f>
        <v>20</v>
      </c>
      <c r="AW28" s="330" t="s">
        <v>95</v>
      </c>
      <c r="AX28" s="331" t="s">
        <v>166</v>
      </c>
      <c r="AY28" s="332" t="s">
        <v>708</v>
      </c>
      <c r="AZ28" s="333" t="s">
        <v>772</v>
      </c>
      <c r="BC28" s="339" cm="1">
        <f t="array" ref="BC28" xml:space="preserve"> ROW() - ROW($8:$8)</f>
        <v>20</v>
      </c>
      <c r="BD28" s="340" t="str">
        <f>表格7_9[[#This Row],[注音符號]]</f>
        <v>ㄘ</v>
      </c>
      <c r="BE28" s="341" t="str">
        <f t="shared" si="3"/>
        <v>h</v>
      </c>
      <c r="BF28" s="342" t="str">
        <f t="shared" si="4"/>
        <v>h</v>
      </c>
      <c r="BI28" s="350" t="s">
        <v>699</v>
      </c>
      <c r="BJ28" s="349" t="str">
        <f t="shared" si="5"/>
        <v>an</v>
      </c>
      <c r="BK28" s="348" t="str">
        <f t="shared" si="0"/>
        <v>M</v>
      </c>
      <c r="BL28" s="346">
        <f t="shared" si="1"/>
        <v>17</v>
      </c>
      <c r="BM28" s="346">
        <f t="shared" si="2"/>
        <v>15</v>
      </c>
    </row>
    <row r="29" spans="1:65" ht="38.1" customHeight="1">
      <c r="B29" s="122" t="s">
        <v>355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154" cm="1">
        <f t="array" ref="AV29" xml:space="preserve"> ROW() - ROW($8:$8)</f>
        <v>21</v>
      </c>
      <c r="AW29" s="330" t="s">
        <v>68</v>
      </c>
      <c r="AX29" s="331" t="s">
        <v>99</v>
      </c>
      <c r="AY29" s="332" t="s">
        <v>99</v>
      </c>
      <c r="AZ29" s="333" t="s">
        <v>773</v>
      </c>
      <c r="BC29" s="339" cm="1">
        <f t="array" ref="BC29" xml:space="preserve"> ROW() - ROW($8:$8)</f>
        <v>21</v>
      </c>
      <c r="BD29" s="340" t="str">
        <f>表格7_9[[#This Row],[注音符號]]</f>
        <v>ㄙ</v>
      </c>
      <c r="BE29" s="341" t="str">
        <f t="shared" si="3"/>
        <v>n</v>
      </c>
      <c r="BF29" s="342" t="str">
        <f t="shared" si="4"/>
        <v>n</v>
      </c>
      <c r="BI29" s="350" t="s">
        <v>700</v>
      </c>
      <c r="BJ29" s="349" t="str">
        <f t="shared" si="5"/>
        <v>en</v>
      </c>
      <c r="BK29" s="348" t="str">
        <f t="shared" si="0"/>
        <v>N</v>
      </c>
      <c r="BL29" s="346">
        <f t="shared" si="1"/>
        <v>17</v>
      </c>
      <c r="BM29" s="346">
        <f t="shared" si="2"/>
        <v>15</v>
      </c>
    </row>
    <row r="30" spans="1:65" ht="38.1" customHeight="1">
      <c r="B30" s="41" t="s">
        <v>264</v>
      </c>
      <c r="C30" s="41"/>
      <c r="D30" s="41"/>
      <c r="E30" s="41"/>
      <c r="F30" s="41"/>
      <c r="G30" s="41"/>
      <c r="H30" s="41"/>
      <c r="I30" s="41"/>
      <c r="J30" s="212" t="s">
        <v>596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154" cm="1">
        <f t="array" ref="AV30" xml:space="preserve"> ROW() - ROW($8:$8)</f>
        <v>22</v>
      </c>
      <c r="AW30" s="330" t="s">
        <v>77</v>
      </c>
      <c r="AX30" s="331" t="s">
        <v>49</v>
      </c>
      <c r="AY30" s="332" t="s">
        <v>49</v>
      </c>
      <c r="AZ30" s="333" t="s">
        <v>774</v>
      </c>
      <c r="BC30" s="339" cm="1">
        <f t="array" ref="BC30" xml:space="preserve"> ROW() - ROW($8:$8)</f>
        <v>22</v>
      </c>
      <c r="BD30" s="340" t="str">
        <f>表格7_9[[#This Row],[注音符號]]</f>
        <v>ㄧ</v>
      </c>
      <c r="BE30" s="341" t="str">
        <f t="shared" si="3"/>
        <v>u</v>
      </c>
      <c r="BF30" s="342" t="str">
        <f t="shared" si="4"/>
        <v>u</v>
      </c>
      <c r="BI30" s="350" t="s">
        <v>701</v>
      </c>
      <c r="BJ30" s="349" t="str">
        <f t="shared" si="5"/>
        <v>er</v>
      </c>
      <c r="BK30" s="348" t="str">
        <f t="shared" si="0"/>
        <v>R</v>
      </c>
      <c r="BL30" s="346">
        <f t="shared" si="1"/>
        <v>17</v>
      </c>
      <c r="BM30" s="346">
        <f t="shared" si="2"/>
        <v>15</v>
      </c>
    </row>
    <row r="31" spans="1:65" ht="38.1" customHeight="1">
      <c r="B31" s="54" t="str">
        <f>B5</f>
        <v>字典編碼</v>
      </c>
      <c r="C31" s="159">
        <f ca="1" xml:space="preserve"> LEN(D31)</f>
        <v>42</v>
      </c>
      <c r="D31" s="52" t="str">
        <f ca="1" xml:space="preserve"> _xlfn.CONCAT(D5:AS5)</f>
        <v>bpmfdtnlgkhjqxZCSrzcsiuvaoeEAIOUMNKGR12345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154" cm="1">
        <f t="array" ref="AV31" xml:space="preserve"> ROW() - ROW($8:$8)</f>
        <v>23</v>
      </c>
      <c r="AW31" s="330" t="s">
        <v>97</v>
      </c>
      <c r="AX31" s="331" t="s">
        <v>77</v>
      </c>
      <c r="AY31" s="332" t="s">
        <v>77</v>
      </c>
      <c r="AZ31" s="333" t="s">
        <v>775</v>
      </c>
      <c r="BC31" s="339" cm="1">
        <f t="array" ref="BC31" xml:space="preserve"> ROW() - ROW($8:$8)</f>
        <v>23</v>
      </c>
      <c r="BD31" s="340" t="str">
        <f>表格7_9[[#This Row],[注音符號]]</f>
        <v>ㄨ</v>
      </c>
      <c r="BE31" s="341" t="str">
        <f t="shared" si="3"/>
        <v>j</v>
      </c>
      <c r="BF31" s="342" t="str">
        <f t="shared" si="4"/>
        <v>j</v>
      </c>
      <c r="BI31" s="350" t="s">
        <v>702</v>
      </c>
      <c r="BJ31" s="349" t="str">
        <f t="shared" si="5"/>
        <v>eh</v>
      </c>
      <c r="BK31" s="348" t="str">
        <f t="shared" si="0"/>
        <v>E</v>
      </c>
      <c r="BL31" s="346">
        <f t="shared" si="1"/>
        <v>17</v>
      </c>
      <c r="BM31" s="346">
        <f t="shared" si="2"/>
        <v>15</v>
      </c>
    </row>
    <row r="32" spans="1:65" s="12" customFormat="1" ht="38.1" customHeight="1">
      <c r="A32"/>
      <c r="B32" s="46" t="str">
        <f>B4</f>
        <v>注音符號</v>
      </c>
      <c r="C32" s="160">
        <f ca="1">LEN(D32)</f>
        <v>42</v>
      </c>
      <c r="D32" s="46" t="str">
        <f ca="1" xml:space="preserve"> _xlfn.CONCAT(D4:AS4)</f>
        <v>ㄅㄆㄇㄈㄉㄊㄋㄌㄍㄎㄏㄐㄑㄒㄓㄔㄕㄖㄗㄘㄙㄧㄨㄩㄚㄛㄜㄝㄞㄟㄠㄡㄢㄣㄤㄥㄦˉˊˇˋ˙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154" cm="1">
        <f t="array" ref="AV32" xml:space="preserve"> ROW() - ROW($8:$8)</f>
        <v>24</v>
      </c>
      <c r="AW32" s="330" t="s">
        <v>66</v>
      </c>
      <c r="AX32" s="331" t="s">
        <v>174</v>
      </c>
      <c r="AY32" s="332" t="s">
        <v>739</v>
      </c>
      <c r="AZ32" s="333" t="s">
        <v>776</v>
      </c>
      <c r="BC32" s="339" cm="1">
        <f t="array" ref="BC32" xml:space="preserve"> ROW() - ROW($8:$8)</f>
        <v>24</v>
      </c>
      <c r="BD32" s="340" t="str">
        <f>表格7_9[[#This Row],[注音符號]]</f>
        <v>ㄩ</v>
      </c>
      <c r="BE32" s="341" t="str">
        <f t="shared" si="3"/>
        <v>m</v>
      </c>
      <c r="BF32" s="342" t="str">
        <f t="shared" si="4"/>
        <v>m</v>
      </c>
      <c r="BI32" s="350" t="s">
        <v>703</v>
      </c>
      <c r="BJ32" s="349" t="str">
        <f t="shared" si="5"/>
        <v>([iv])e</v>
      </c>
      <c r="BK32" s="348" t="str">
        <f t="shared" si="0"/>
        <v>$1E</v>
      </c>
      <c r="BL32" s="346">
        <f t="shared" si="1"/>
        <v>24</v>
      </c>
      <c r="BM32" s="346">
        <f t="shared" si="2"/>
        <v>20</v>
      </c>
    </row>
    <row r="33" spans="1:65" s="12" customFormat="1" ht="38.1" customHeight="1">
      <c r="B33" s="120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154" cm="1">
        <f t="array" ref="AV33" xml:space="preserve"> ROW() - ROW($8:$8)</f>
        <v>25</v>
      </c>
      <c r="AW33" s="330" t="s">
        <v>176</v>
      </c>
      <c r="AX33" s="331" t="s">
        <v>21</v>
      </c>
      <c r="AY33" s="332" t="s">
        <v>21</v>
      </c>
      <c r="AZ33" s="333" t="s">
        <v>777</v>
      </c>
      <c r="BC33" s="339" cm="1">
        <f t="array" ref="BC33" xml:space="preserve"> ROW() - ROW($8:$8)</f>
        <v>25</v>
      </c>
      <c r="BD33" s="340" t="str">
        <f>表格7_9[[#This Row],[注音符號]]</f>
        <v>ㄚ</v>
      </c>
      <c r="BE33" s="341" t="str">
        <f t="shared" si="3"/>
        <v>8</v>
      </c>
      <c r="BF33" s="342" t="str">
        <f t="shared" si="4"/>
        <v>8</v>
      </c>
      <c r="BI33" s="345"/>
      <c r="BJ33" s="345"/>
      <c r="BK33" s="347"/>
      <c r="BL33" s="345"/>
      <c r="BM33" s="345"/>
    </row>
    <row r="34" spans="1:65" s="12" customFormat="1" ht="38.1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154" cm="1">
        <f t="array" ref="AV34" xml:space="preserve"> ROW() - ROW($8:$8)</f>
        <v>26</v>
      </c>
      <c r="AW34" s="330" t="s">
        <v>49</v>
      </c>
      <c r="AX34" s="331" t="s">
        <v>79</v>
      </c>
      <c r="AY34" s="332" t="s">
        <v>79</v>
      </c>
      <c r="AZ34" s="333" t="s">
        <v>778</v>
      </c>
      <c r="BC34" s="339" cm="1">
        <f t="array" ref="BC34" xml:space="preserve"> ROW() - ROW($8:$8)</f>
        <v>26</v>
      </c>
      <c r="BD34" s="340" t="str">
        <f>表格7_9[[#This Row],[注音符號]]</f>
        <v>ㄛ</v>
      </c>
      <c r="BE34" s="341" t="str">
        <f t="shared" si="3"/>
        <v>i</v>
      </c>
      <c r="BF34" s="342" t="str">
        <f t="shared" si="4"/>
        <v>i</v>
      </c>
      <c r="BI34" s="345"/>
      <c r="BJ34" s="345"/>
      <c r="BK34" s="347"/>
      <c r="BL34" s="345"/>
      <c r="BM34" s="345"/>
    </row>
    <row r="35" spans="1:65" s="12" customFormat="1" ht="38.1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154" cm="1">
        <f t="array" ref="AV35" xml:space="preserve"> ROW() - ROW($8:$8)</f>
        <v>27</v>
      </c>
      <c r="AW35" s="330" t="s">
        <v>42</v>
      </c>
      <c r="AX35" s="331" t="s">
        <v>53</v>
      </c>
      <c r="AY35" s="332" t="s">
        <v>53</v>
      </c>
      <c r="AZ35" s="333" t="s">
        <v>779</v>
      </c>
      <c r="BC35" s="339" cm="1">
        <f t="array" ref="BC35" xml:space="preserve"> ROW() - ROW($8:$8)</f>
        <v>27</v>
      </c>
      <c r="BD35" s="340" t="str">
        <f>表格7_9[[#This Row],[注音符號]]</f>
        <v>ㄜ</v>
      </c>
      <c r="BE35" s="341" t="str">
        <f t="shared" si="3"/>
        <v>k</v>
      </c>
      <c r="BF35" s="342" t="str">
        <f t="shared" si="4"/>
        <v>k</v>
      </c>
      <c r="BI35" s="345"/>
      <c r="BJ35" s="345"/>
      <c r="BK35" s="347"/>
      <c r="BL35" s="345"/>
      <c r="BM35" s="345"/>
    </row>
    <row r="36" spans="1:65" s="12" customFormat="1" ht="38.1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154" cm="1">
        <f t="array" ref="AV36" xml:space="preserve"> ROW() - ROW($8:$8)</f>
        <v>28</v>
      </c>
      <c r="AW36" s="330" t="s">
        <v>180</v>
      </c>
      <c r="AX36" s="331" t="s">
        <v>26</v>
      </c>
      <c r="AY36" s="332" t="s">
        <v>741</v>
      </c>
      <c r="AZ36" s="333" t="s">
        <v>780</v>
      </c>
      <c r="BC36" s="339" cm="1">
        <f t="array" ref="BC36" xml:space="preserve"> ROW() - ROW($8:$8)</f>
        <v>28</v>
      </c>
      <c r="BD36" s="340" t="str">
        <f>表格7_9[[#This Row],[注音符號]]</f>
        <v>ㄝ</v>
      </c>
      <c r="BE36" s="341" t="str">
        <f t="shared" si="3"/>
        <v>,</v>
      </c>
      <c r="BF36" s="342" t="str">
        <f t="shared" si="4"/>
        <v>,</v>
      </c>
      <c r="BI36" s="345"/>
      <c r="BJ36" s="345"/>
      <c r="BK36" s="347"/>
      <c r="BL36" s="345"/>
      <c r="BM36" s="345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154" cm="1">
        <f t="array" ref="AV37" xml:space="preserve"> ROW() - ROW($8:$8)</f>
        <v>29</v>
      </c>
      <c r="AW37" s="330" t="s">
        <v>178</v>
      </c>
      <c r="AX37" s="331" t="s">
        <v>709</v>
      </c>
      <c r="AY37" s="332" t="s">
        <v>372</v>
      </c>
      <c r="AZ37" s="333" t="s">
        <v>781</v>
      </c>
      <c r="BC37" s="339" cm="1">
        <f t="array" ref="BC37" xml:space="preserve"> ROW() - ROW($8:$8)</f>
        <v>29</v>
      </c>
      <c r="BD37" s="340" t="str">
        <f>表格7_9[[#This Row],[注音符號]]</f>
        <v>ㄞ</v>
      </c>
      <c r="BE37" s="341" t="str">
        <f t="shared" si="3"/>
        <v>9</v>
      </c>
      <c r="BF37" s="342" t="str">
        <f t="shared" si="4"/>
        <v>9</v>
      </c>
      <c r="BI37" s="345"/>
      <c r="BJ37" s="345"/>
      <c r="BK37" s="347"/>
      <c r="BL37" s="345"/>
      <c r="BM37" s="345"/>
    </row>
    <row r="38" spans="1:65" s="12" customFormat="1" ht="38.1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154" cm="1">
        <f t="array" ref="AV38" xml:space="preserve"> ROW() - ROW($8:$8)</f>
        <v>30</v>
      </c>
      <c r="AW38" s="330" t="s">
        <v>79</v>
      </c>
      <c r="AX38" s="331" t="s">
        <v>31</v>
      </c>
      <c r="AY38" s="332" t="s">
        <v>717</v>
      </c>
      <c r="AZ38" s="333" t="s">
        <v>782</v>
      </c>
      <c r="BC38" s="339" cm="1">
        <f t="array" ref="BC38" xml:space="preserve"> ROW() - ROW($8:$8)</f>
        <v>30</v>
      </c>
      <c r="BD38" s="340" t="str">
        <f>表格7_9[[#This Row],[注音符號]]</f>
        <v>ㄟ</v>
      </c>
      <c r="BE38" s="341" t="str">
        <f t="shared" si="3"/>
        <v>o</v>
      </c>
      <c r="BF38" s="342" t="str">
        <f t="shared" si="4"/>
        <v>o</v>
      </c>
      <c r="BI38" s="345"/>
      <c r="BJ38" s="345"/>
      <c r="BK38" s="347"/>
      <c r="BL38" s="345"/>
      <c r="BM38" s="345"/>
    </row>
    <row r="39" spans="1:65" s="12" customFormat="1" ht="38.1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154" cm="1">
        <f t="array" ref="AV39" xml:space="preserve"> ROW() - ROW($8:$8)</f>
        <v>31</v>
      </c>
      <c r="AW39" s="330" t="s">
        <v>93</v>
      </c>
      <c r="AX39" s="331" t="s">
        <v>32</v>
      </c>
      <c r="AY39" s="332" t="s">
        <v>719</v>
      </c>
      <c r="AZ39" s="333" t="s">
        <v>783</v>
      </c>
      <c r="BC39" s="339" cm="1">
        <f t="array" ref="BC39" xml:space="preserve"> ROW() - ROW($8:$8)</f>
        <v>31</v>
      </c>
      <c r="BD39" s="340" t="str">
        <f>表格7_9[[#This Row],[注音符號]]</f>
        <v>ㄠ</v>
      </c>
      <c r="BE39" s="341" t="str">
        <f t="shared" si="3"/>
        <v>l</v>
      </c>
      <c r="BF39" s="342" t="str">
        <f t="shared" si="4"/>
        <v>l</v>
      </c>
      <c r="BI39" s="345"/>
      <c r="BJ39" s="345"/>
      <c r="BK39" s="347"/>
      <c r="BL39" s="345"/>
      <c r="BM39" s="345"/>
    </row>
    <row r="40" spans="1:65" s="12" customFormat="1" ht="38.1" customHeight="1"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154" cm="1">
        <f t="array" ref="AV40" xml:space="preserve"> ROW() - ROW($8:$8)</f>
        <v>32</v>
      </c>
      <c r="AW40" s="330" t="s">
        <v>578</v>
      </c>
      <c r="AX40" s="331" t="s">
        <v>30</v>
      </c>
      <c r="AY40" s="332" t="s">
        <v>736</v>
      </c>
      <c r="AZ40" s="333" t="s">
        <v>784</v>
      </c>
      <c r="BC40" s="339" cm="1">
        <f t="array" ref="BC40" xml:space="preserve"> ROW() - ROW($8:$8)</f>
        <v>32</v>
      </c>
      <c r="BD40" s="340" t="str">
        <f>表格7_9[[#This Row],[注音符號]]</f>
        <v>ㄡ</v>
      </c>
      <c r="BE40" s="341" t="str">
        <f t="shared" si="3"/>
        <v>.</v>
      </c>
      <c r="BF40" s="342" t="str">
        <f t="shared" si="4"/>
        <v>.</v>
      </c>
      <c r="BI40" s="345"/>
      <c r="BJ40" s="345"/>
      <c r="BK40" s="347"/>
      <c r="BL40" s="345"/>
      <c r="BM40" s="345"/>
    </row>
    <row r="41" spans="1:65" ht="38.1" customHeight="1">
      <c r="A41" s="1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154" cm="1">
        <f t="array" ref="AV41" xml:space="preserve"> ROW() - ROW($8:$8)</f>
        <v>33</v>
      </c>
      <c r="AW41" s="330" t="s">
        <v>182</v>
      </c>
      <c r="AX41" s="331" t="s">
        <v>87</v>
      </c>
      <c r="AY41" s="332" t="s">
        <v>509</v>
      </c>
      <c r="AZ41" s="333" t="s">
        <v>785</v>
      </c>
      <c r="BC41" s="339" cm="1">
        <f t="array" ref="BC41" xml:space="preserve"> ROW() - ROW($8:$8)</f>
        <v>33</v>
      </c>
      <c r="BD41" s="340" t="str">
        <f>表格7_9[[#This Row],[注音符號]]</f>
        <v>ㄢ</v>
      </c>
      <c r="BE41" s="341" t="str">
        <f t="shared" ref="BE41:BE58" si="6" xml:space="preserve"> MID($BC$4,$BC41,1)</f>
        <v>0</v>
      </c>
      <c r="BF41" s="342" t="str">
        <f t="shared" ref="BF41:BF58" si="7" xml:space="preserve"> MID($BC$5,$BC41,1)</f>
        <v>0</v>
      </c>
    </row>
    <row r="42" spans="1:65" ht="38.1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154" cm="1">
        <f t="array" ref="AV42" xml:space="preserve"> ROW() - ROW($8:$8)</f>
        <v>34</v>
      </c>
      <c r="AW42" s="330" t="s">
        <v>9</v>
      </c>
      <c r="AX42" s="331" t="s">
        <v>86</v>
      </c>
      <c r="AY42" s="332" t="s">
        <v>214</v>
      </c>
      <c r="AZ42" s="333" t="s">
        <v>786</v>
      </c>
      <c r="BC42" s="339" cm="1">
        <f t="array" ref="BC42" xml:space="preserve"> ROW() - ROW($8:$8)</f>
        <v>34</v>
      </c>
      <c r="BD42" s="340" t="str">
        <f>表格7_9[[#This Row],[注音符號]]</f>
        <v>ㄣ</v>
      </c>
      <c r="BE42" s="341" t="str">
        <f t="shared" si="6"/>
        <v>p</v>
      </c>
      <c r="BF42" s="342" t="str">
        <f t="shared" si="7"/>
        <v>p</v>
      </c>
    </row>
    <row r="43" spans="1:65" ht="38.1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154" cm="1">
        <f t="array" ref="AV43" xml:space="preserve"> ROW() - ROW($8:$8)</f>
        <v>35</v>
      </c>
      <c r="AW43" s="330" t="s">
        <v>183</v>
      </c>
      <c r="AX43" s="331" t="s">
        <v>62</v>
      </c>
      <c r="AY43" s="332" t="s">
        <v>512</v>
      </c>
      <c r="AZ43" s="333" t="s">
        <v>787</v>
      </c>
      <c r="BC43" s="339" cm="1">
        <f t="array" ref="BC43" xml:space="preserve"> ROW() - ROW($8:$8)</f>
        <v>35</v>
      </c>
      <c r="BD43" s="340" t="str">
        <f>表格7_9[[#This Row],[注音符號]]</f>
        <v>ㄤ</v>
      </c>
      <c r="BE43" s="341" t="str">
        <f t="shared" si="6"/>
        <v>;</v>
      </c>
      <c r="BF43" s="342" t="str">
        <f t="shared" si="7"/>
        <v>;</v>
      </c>
    </row>
    <row r="44" spans="1:65" ht="38.1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154" cm="1">
        <f t="array" ref="AV44" xml:space="preserve"> ROW() - ROW($8:$8)</f>
        <v>36</v>
      </c>
      <c r="AW44" s="330" t="s">
        <v>184</v>
      </c>
      <c r="AX44" s="331" t="s">
        <v>59</v>
      </c>
      <c r="AY44" s="332" t="s">
        <v>731</v>
      </c>
      <c r="AZ44" s="333" t="s">
        <v>788</v>
      </c>
      <c r="BC44" s="339" cm="1">
        <f t="array" ref="BC44" xml:space="preserve"> ROW() - ROW($8:$8)</f>
        <v>36</v>
      </c>
      <c r="BD44" s="340" t="str">
        <f>表格7_9[[#This Row],[注音符號]]</f>
        <v>ㄥ</v>
      </c>
      <c r="BE44" s="341" t="str">
        <f t="shared" si="6"/>
        <v>/</v>
      </c>
      <c r="BF44" s="342" t="str">
        <f t="shared" si="7"/>
        <v>/</v>
      </c>
    </row>
    <row r="45" spans="1:65" ht="38.1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154" cm="1">
        <f t="array" ref="AV45" xml:space="preserve"> ROW() - ROW($8:$8)</f>
        <v>37</v>
      </c>
      <c r="AW45" s="330" t="s">
        <v>185</v>
      </c>
      <c r="AX45" s="331" t="s">
        <v>27</v>
      </c>
      <c r="AY45" s="332" t="s">
        <v>727</v>
      </c>
      <c r="AZ45" s="333" t="s">
        <v>789</v>
      </c>
      <c r="BC45" s="339" cm="1">
        <f t="array" ref="BC45" xml:space="preserve"> ROW() - ROW($8:$8)</f>
        <v>37</v>
      </c>
      <c r="BD45" s="340" t="str">
        <f>表格7_9[[#This Row],[注音符號]]</f>
        <v>ㄦ</v>
      </c>
      <c r="BE45" s="341" t="str">
        <f t="shared" si="6"/>
        <v>-</v>
      </c>
      <c r="BF45" s="342" t="str">
        <f t="shared" si="7"/>
        <v>-</v>
      </c>
    </row>
    <row r="46" spans="1:65" ht="38.1" customHeight="1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154" cm="1">
        <f t="array" ref="AV46" xml:space="preserve"> ROW() - ROW($8:$8)</f>
        <v>38</v>
      </c>
      <c r="AW46" s="330" t="s">
        <v>118</v>
      </c>
      <c r="AX46" s="331" t="s">
        <v>168</v>
      </c>
      <c r="AY46" s="332" t="s">
        <v>506</v>
      </c>
      <c r="AZ46" s="333" t="s">
        <v>790</v>
      </c>
      <c r="BC46" s="339" cm="1">
        <f t="array" ref="BC46" xml:space="preserve"> ROW() - ROW($8:$8)</f>
        <v>38</v>
      </c>
      <c r="BD46" s="340" t="str">
        <f>表格7_9[[#This Row],[注音符號]]</f>
        <v>ˉ</v>
      </c>
      <c r="BE46" s="341" t="str">
        <f t="shared" si="6"/>
        <v xml:space="preserve"> </v>
      </c>
      <c r="BF46" s="342" t="str">
        <f t="shared" si="7"/>
        <v/>
      </c>
    </row>
    <row r="47" spans="1:65" ht="38.1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154" cm="1">
        <f t="array" ref="AV47" xml:space="preserve"> ROW() - ROW($8:$8)</f>
        <v>39</v>
      </c>
      <c r="AW47" s="330" t="s">
        <v>188</v>
      </c>
      <c r="AX47" s="331" t="s">
        <v>169</v>
      </c>
      <c r="AY47" s="332" t="s">
        <v>212</v>
      </c>
      <c r="AZ47" s="333" t="s">
        <v>791</v>
      </c>
      <c r="BC47" s="339" cm="1">
        <f t="array" ref="BC47" xml:space="preserve"> ROW() - ROW($8:$8)</f>
        <v>39</v>
      </c>
      <c r="BD47" s="340" t="str">
        <f>表格7_9[[#This Row],[注音符號]]</f>
        <v>ˊ</v>
      </c>
      <c r="BE47" s="341" t="str">
        <f t="shared" si="6"/>
        <v>6</v>
      </c>
      <c r="BF47" s="342" t="str">
        <f t="shared" si="7"/>
        <v/>
      </c>
    </row>
    <row r="48" spans="1:65" ht="38.1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154" cm="1">
        <f t="array" ref="AV48" xml:space="preserve"> ROW() - ROW($8:$8)</f>
        <v>40</v>
      </c>
      <c r="AW48" s="330" t="s">
        <v>187</v>
      </c>
      <c r="AX48" s="331" t="s">
        <v>187</v>
      </c>
      <c r="AY48" s="332" t="s">
        <v>215</v>
      </c>
      <c r="AZ48" s="333" t="s">
        <v>711</v>
      </c>
      <c r="BC48" s="339" cm="1">
        <f t="array" ref="BC48" xml:space="preserve"> ROW() - ROW($8:$8)</f>
        <v>40</v>
      </c>
      <c r="BD48" s="340" t="str">
        <f>表格7_9[[#This Row],[注音符號]]</f>
        <v>ˇ</v>
      </c>
      <c r="BE48" s="341" t="str">
        <f t="shared" si="6"/>
        <v>3</v>
      </c>
      <c r="BF48" s="342" t="str">
        <f t="shared" si="7"/>
        <v/>
      </c>
    </row>
    <row r="49" spans="2:58" ht="38.1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154" cm="1">
        <f t="array" ref="AV49" xml:space="preserve"> ROW() - ROW($8:$8)</f>
        <v>41</v>
      </c>
      <c r="AW49" s="330" t="s">
        <v>186</v>
      </c>
      <c r="AX49" s="331" t="s">
        <v>186</v>
      </c>
      <c r="AY49" s="332" t="s">
        <v>216</v>
      </c>
      <c r="AZ49" s="333" t="s">
        <v>792</v>
      </c>
      <c r="BC49" s="339" cm="1">
        <f t="array" ref="BC49" xml:space="preserve"> ROW() - ROW($8:$8)</f>
        <v>41</v>
      </c>
      <c r="BD49" s="340" t="str">
        <f>表格7_9[[#This Row],[注音符號]]</f>
        <v>ˋ</v>
      </c>
      <c r="BE49" s="341" t="str">
        <f t="shared" si="6"/>
        <v>4</v>
      </c>
      <c r="BF49" s="342" t="str">
        <f t="shared" si="7"/>
        <v/>
      </c>
    </row>
    <row r="50" spans="2:58" ht="38.1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154" cm="1">
        <f t="array" ref="AV50" xml:space="preserve"> ROW() - ROW($8:$8)</f>
        <v>42</v>
      </c>
      <c r="AW50" s="330" t="s">
        <v>190</v>
      </c>
      <c r="AX50" s="331" t="s">
        <v>189</v>
      </c>
      <c r="AY50" s="332" t="s">
        <v>214</v>
      </c>
      <c r="AZ50" s="333" t="s">
        <v>123</v>
      </c>
      <c r="BC50" s="339" cm="1">
        <f t="array" ref="BC50" xml:space="preserve"> ROW() - ROW($8:$8)</f>
        <v>42</v>
      </c>
      <c r="BD50" s="340" t="str">
        <f>表格7_9[[#This Row],[注音符號]]</f>
        <v>˙</v>
      </c>
      <c r="BE50" s="341" t="str">
        <f t="shared" si="6"/>
        <v>7</v>
      </c>
      <c r="BF50" s="342" t="str">
        <f t="shared" si="7"/>
        <v/>
      </c>
    </row>
    <row r="51" spans="2:58" ht="3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154" cm="1">
        <f t="array" ref="AV51" xml:space="preserve"> ROW() - ROW($8:$8)</f>
        <v>43</v>
      </c>
      <c r="AW51" s="91"/>
      <c r="AX51" s="89"/>
      <c r="AY51" s="152"/>
      <c r="AZ51" s="90"/>
      <c r="BC51" s="339" cm="1">
        <f t="array" ref="BC51" xml:space="preserve"> ROW() - ROW($8:$8)</f>
        <v>43</v>
      </c>
      <c r="BD51" s="340"/>
      <c r="BE51" s="341" t="str">
        <f t="shared" si="6"/>
        <v/>
      </c>
      <c r="BF51" s="342" t="str">
        <f t="shared" si="7"/>
        <v/>
      </c>
    </row>
    <row r="52" spans="2:58" ht="38.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154" cm="1">
        <f t="array" ref="AV52" xml:space="preserve"> ROW() - ROW($8:$8)</f>
        <v>44</v>
      </c>
      <c r="AW52" s="91"/>
      <c r="AX52" s="89"/>
      <c r="AY52" s="152"/>
      <c r="AZ52" s="90"/>
      <c r="BC52" s="339" cm="1">
        <f t="array" ref="BC52" xml:space="preserve"> ROW() - ROW($8:$8)</f>
        <v>44</v>
      </c>
      <c r="BD52" s="340"/>
      <c r="BE52" s="341" t="str">
        <f t="shared" si="6"/>
        <v/>
      </c>
      <c r="BF52" s="342" t="str">
        <f t="shared" si="7"/>
        <v/>
      </c>
    </row>
    <row r="53" spans="2:58" ht="38.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154" cm="1">
        <f t="array" ref="AV53" xml:space="preserve"> ROW() - ROW($8:$8)</f>
        <v>45</v>
      </c>
      <c r="AW53" s="91"/>
      <c r="AX53" s="89"/>
      <c r="AY53" s="152"/>
      <c r="AZ53" s="90"/>
      <c r="BC53" s="339" cm="1">
        <f t="array" ref="BC53" xml:space="preserve"> ROW() - ROW($8:$8)</f>
        <v>45</v>
      </c>
      <c r="BD53" s="340"/>
      <c r="BE53" s="341" t="str">
        <f t="shared" si="6"/>
        <v/>
      </c>
      <c r="BF53" s="342" t="str">
        <f t="shared" si="7"/>
        <v/>
      </c>
    </row>
    <row r="54" spans="2:58" ht="38.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154" cm="1">
        <f t="array" ref="AV54" xml:space="preserve"> ROW() - ROW($8:$8)</f>
        <v>46</v>
      </c>
      <c r="AW54" s="91"/>
      <c r="AX54" s="89"/>
      <c r="AY54" s="152"/>
      <c r="AZ54" s="90"/>
      <c r="BC54" s="339" cm="1">
        <f t="array" ref="BC54" xml:space="preserve"> ROW() - ROW($8:$8)</f>
        <v>46</v>
      </c>
      <c r="BD54" s="340"/>
      <c r="BE54" s="341" t="str">
        <f t="shared" si="6"/>
        <v/>
      </c>
      <c r="BF54" s="342" t="str">
        <f t="shared" si="7"/>
        <v/>
      </c>
    </row>
    <row r="55" spans="2:58" ht="38.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154" cm="1">
        <f t="array" ref="AV55" xml:space="preserve"> ROW() - ROW($8:$8)</f>
        <v>47</v>
      </c>
      <c r="AW55" s="91"/>
      <c r="AX55" s="89"/>
      <c r="AY55" s="152"/>
      <c r="AZ55" s="90"/>
      <c r="BC55" s="339" cm="1">
        <f t="array" ref="BC55" xml:space="preserve"> ROW() - ROW($8:$8)</f>
        <v>47</v>
      </c>
      <c r="BD55" s="340"/>
      <c r="BE55" s="341" t="str">
        <f t="shared" si="6"/>
        <v/>
      </c>
      <c r="BF55" s="342" t="str">
        <f t="shared" si="7"/>
        <v/>
      </c>
    </row>
    <row r="56" spans="2:58" ht="34.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154" cm="1">
        <f t="array" ref="AV56" xml:space="preserve"> ROW() - ROW($8:$8)</f>
        <v>48</v>
      </c>
      <c r="AW56" s="91"/>
      <c r="AX56" s="89"/>
      <c r="AY56" s="152"/>
      <c r="AZ56" s="90"/>
      <c r="BC56" s="339" cm="1">
        <f t="array" ref="BC56" xml:space="preserve"> ROW() - ROW($8:$8)</f>
        <v>48</v>
      </c>
      <c r="BD56" s="340"/>
      <c r="BE56" s="341" t="str">
        <f t="shared" si="6"/>
        <v/>
      </c>
      <c r="BF56" s="342" t="str">
        <f t="shared" si="7"/>
        <v/>
      </c>
    </row>
    <row r="57" spans="2:58" ht="34.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154" cm="1">
        <f t="array" ref="AV57" xml:space="preserve"> ROW() - ROW($8:$8)</f>
        <v>49</v>
      </c>
      <c r="AW57" s="91"/>
      <c r="AX57" s="89"/>
      <c r="AY57" s="152"/>
      <c r="AZ57" s="90"/>
      <c r="BC57" s="339" cm="1">
        <f t="array" ref="BC57" xml:space="preserve"> ROW() - ROW($8:$8)</f>
        <v>49</v>
      </c>
      <c r="BD57" s="340"/>
      <c r="BE57" s="341" t="str">
        <f t="shared" si="6"/>
        <v/>
      </c>
      <c r="BF57" s="342" t="str">
        <f t="shared" si="7"/>
        <v/>
      </c>
    </row>
    <row r="58" spans="2:58" ht="34.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154" cm="1">
        <f t="array" ref="AV58" xml:space="preserve"> ROW() - ROW($8:$8)</f>
        <v>50</v>
      </c>
      <c r="AW58" s="91"/>
      <c r="AX58" s="89"/>
      <c r="AY58" s="152"/>
      <c r="AZ58" s="90"/>
      <c r="BC58" s="339" cm="1">
        <f t="array" ref="BC58" xml:space="preserve"> ROW() - ROW($8:$8)</f>
        <v>50</v>
      </c>
      <c r="BD58" s="340"/>
      <c r="BE58" s="341" t="str">
        <f t="shared" si="6"/>
        <v/>
      </c>
      <c r="BF58" s="342" t="str">
        <f t="shared" si="7"/>
        <v/>
      </c>
    </row>
    <row r="59" spans="2:58"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</row>
  </sheetData>
  <mergeCells count="44">
    <mergeCell ref="G8:I8"/>
    <mergeCell ref="J8:L8"/>
    <mergeCell ref="M8:O8"/>
    <mergeCell ref="S8:U8"/>
    <mergeCell ref="V8:X8"/>
    <mergeCell ref="AE8:AG8"/>
    <mergeCell ref="AH8:AJ8"/>
    <mergeCell ref="AK8:AM8"/>
    <mergeCell ref="J9:K9"/>
    <mergeCell ref="M9:N9"/>
    <mergeCell ref="S9:T9"/>
    <mergeCell ref="V9:W9"/>
    <mergeCell ref="AK9:AL9"/>
    <mergeCell ref="E10:G10"/>
    <mergeCell ref="H10:J10"/>
    <mergeCell ref="N10:P10"/>
    <mergeCell ref="Q10:S10"/>
    <mergeCell ref="AC10:AE10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F12:H12"/>
    <mergeCell ref="I12:K12"/>
    <mergeCell ref="L12:N12"/>
    <mergeCell ref="O12:Q12"/>
    <mergeCell ref="R12:T12"/>
    <mergeCell ref="G14:I14"/>
    <mergeCell ref="J14:L14"/>
    <mergeCell ref="M14:O14"/>
    <mergeCell ref="P14:R14"/>
    <mergeCell ref="S14:U1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61" customWidth="1"/>
    <col min="2" max="2" width="4.59765625" style="161" bestFit="1" customWidth="1"/>
    <col min="3" max="3" width="6.5" style="161" customWidth="1"/>
    <col min="4" max="4" width="5.09765625" style="161" customWidth="1"/>
    <col min="5" max="5" width="4.69921875" style="161" customWidth="1" outlineLevel="1"/>
    <col min="6" max="7" width="10.09765625" style="163" customWidth="1" outlineLevel="1"/>
    <col min="8" max="8" width="5.09765625" style="161" customWidth="1"/>
    <col min="9" max="9" width="4.69921875" style="161" customWidth="1"/>
    <col min="10" max="10" width="10.09765625" style="162" customWidth="1"/>
    <col min="11" max="11" width="10.09765625" style="163" customWidth="1"/>
    <col min="12" max="12" width="5.09765625" style="161" customWidth="1"/>
    <col min="13" max="13" width="4.69921875" style="161" customWidth="1"/>
    <col min="14" max="14" width="10.09765625" style="161" customWidth="1"/>
    <col min="15" max="15" width="10.09765625" style="164" customWidth="1"/>
    <col min="16" max="16" width="8.796875" style="161"/>
    <col min="17" max="17" width="4.69921875" style="161" customWidth="1"/>
    <col min="18" max="21" width="9.796875" style="161" customWidth="1"/>
    <col min="22" max="22" width="9.796875" customWidth="1"/>
    <col min="23" max="23" width="11.796875" style="161" customWidth="1"/>
    <col min="24" max="26" width="10.3984375" style="161" customWidth="1"/>
    <col min="27" max="16384" width="8.796875" style="161"/>
  </cols>
  <sheetData>
    <row r="1" spans="1:24">
      <c r="A1" s="219" t="s">
        <v>524</v>
      </c>
      <c r="E1" s="219" t="s">
        <v>521</v>
      </c>
      <c r="I1" s="219" t="s">
        <v>523</v>
      </c>
      <c r="M1" s="219" t="s">
        <v>522</v>
      </c>
      <c r="Q1" s="220" t="s">
        <v>602</v>
      </c>
      <c r="V1" s="161"/>
    </row>
    <row r="2" spans="1:24" ht="25.5">
      <c r="A2" s="215" t="s">
        <v>662</v>
      </c>
      <c r="F2" s="165" t="s">
        <v>601</v>
      </c>
      <c r="G2" s="166" t="s">
        <v>527</v>
      </c>
      <c r="J2" s="165" t="s">
        <v>527</v>
      </c>
      <c r="K2" s="166" t="s">
        <v>528</v>
      </c>
      <c r="N2" s="165" t="s">
        <v>601</v>
      </c>
      <c r="O2" s="166" t="s">
        <v>529</v>
      </c>
      <c r="R2" s="169" t="s">
        <v>353</v>
      </c>
      <c r="S2" s="169" t="s">
        <v>603</v>
      </c>
      <c r="T2" s="169" t="s">
        <v>292</v>
      </c>
      <c r="V2" s="221" t="s">
        <v>292</v>
      </c>
      <c r="W2" s="221" t="s">
        <v>290</v>
      </c>
      <c r="X2" s="222" t="s">
        <v>279</v>
      </c>
    </row>
    <row r="3" spans="1:24">
      <c r="A3" s="161">
        <f xml:space="preserve"> SEARCH("|",$A$2,1)</f>
        <v>9</v>
      </c>
      <c r="E3" s="161" cm="1">
        <f t="array" ref="E3" xml:space="preserve"> ROW() - ROW($2:$2)</f>
        <v>1</v>
      </c>
      <c r="F3" s="172" t="str">
        <f xml:space="preserve"> IFERROR( MID($A$6, $E3, 1), "")</f>
        <v>p</v>
      </c>
      <c r="G3" s="173" t="str">
        <f xml:space="preserve"> IFERROR( MID($A$7, $E3, 1), "")</f>
        <v>1</v>
      </c>
      <c r="I3" s="161">
        <v>1</v>
      </c>
      <c r="J3" s="176" t="str">
        <f xml:space="preserve"> IFERROR( MID($A$15, $E3, 1), "")</f>
        <v>1</v>
      </c>
      <c r="K3" s="176" t="str">
        <f xml:space="preserve"> IFERROR( MID($A$16, $E3, 1), "")</f>
        <v>ㄅ</v>
      </c>
      <c r="M3" s="161">
        <v>1</v>
      </c>
      <c r="N3" s="175" t="str">
        <f xml:space="preserve"> IFERROR( MID($A$21, $E3, 1), "")</f>
        <v/>
      </c>
      <c r="O3" s="175" t="str">
        <f xml:space="preserve"> IFERROR( MID($A$22, $E3, 1), "")</f>
        <v/>
      </c>
      <c r="Q3" s="161">
        <v>1</v>
      </c>
      <c r="R3" s="164" t="str">
        <f>G3</f>
        <v>1</v>
      </c>
      <c r="S3" s="178" t="str">
        <f>F3</f>
        <v>p</v>
      </c>
      <c r="T3" s="164" t="str">
        <f xml:space="preserve"> INDEX($K$3:$K$57, MATCH(表格1_337[[#This Row],[鍵盤位置]], $J$3:$J$57,0))</f>
        <v>ㄅ</v>
      </c>
      <c r="V3" s="223" t="str">
        <f xml:space="preserve"> INDEX($K$3:$K$44, MATCH(表格1_337[[#This Row],[鍵盤位置]], $J$3:$J$44,0))</f>
        <v>ㄅ</v>
      </c>
      <c r="W3" s="224" t="s">
        <v>9</v>
      </c>
      <c r="X3" s="225" t="s">
        <v>310</v>
      </c>
    </row>
    <row r="4" spans="1:24">
      <c r="A4" s="161">
        <f xml:space="preserve"> SEARCH("|",$A$2,A3+1)</f>
        <v>65</v>
      </c>
      <c r="E4" s="161" cm="1">
        <f t="array" ref="E4" xml:space="preserve"> ROW() - ROW($2:$2)</f>
        <v>2</v>
      </c>
      <c r="F4" s="181" t="str">
        <f t="shared" ref="F4:F57" si="0" xml:space="preserve"> IFERROR( MID($A$6, $E4, 1), "")</f>
        <v>b</v>
      </c>
      <c r="G4" s="182" t="str">
        <f t="shared" ref="G4:G57" si="1" xml:space="preserve"> IFERROR( MID($A$7, $E4, 1), "")</f>
        <v>!</v>
      </c>
      <c r="I4" s="161">
        <v>2</v>
      </c>
      <c r="J4" s="176" t="str">
        <f t="shared" ref="J4:J57" si="2" xml:space="preserve"> IFERROR( MID($A$15, $E4, 1), "")</f>
        <v>!</v>
      </c>
      <c r="K4" s="176" t="str">
        <f t="shared" ref="K4:K57" si="3" xml:space="preserve"> IFERROR( MID($A$16, $E4, 1), "")</f>
        <v>ㆠ</v>
      </c>
      <c r="M4" s="161">
        <v>2</v>
      </c>
      <c r="N4" s="175" t="str">
        <f t="shared" ref="N4:N44" si="4" xml:space="preserve"> IFERROR( MID($A$21, $E4, 1), "")</f>
        <v/>
      </c>
      <c r="O4" s="175" t="str">
        <f t="shared" ref="O4:O44" si="5" xml:space="preserve"> IFERROR( MID($A$22, $E4, 1), "")</f>
        <v/>
      </c>
      <c r="Q4" s="161">
        <v>2</v>
      </c>
      <c r="R4" s="164" t="str">
        <f t="shared" ref="R4:R57" si="6">G4</f>
        <v>!</v>
      </c>
      <c r="S4" s="178" t="str">
        <f t="shared" ref="S4:S57" si="7">F4</f>
        <v>b</v>
      </c>
      <c r="T4" s="164" t="str">
        <f xml:space="preserve"> INDEX($K$3:$K$57, MATCH(表格1_337[[#This Row],[鍵盤位置]], $J$3:$J$57,0))</f>
        <v>ㆠ</v>
      </c>
      <c r="V4" s="223" t="str">
        <f xml:space="preserve"> INDEX($K$3:$K$44, MATCH(表格1_337[[#This Row],[鍵盤位置]], $J$3:$J$44,0))</f>
        <v>ㆠ</v>
      </c>
      <c r="W4" s="224" t="s">
        <v>38</v>
      </c>
      <c r="X4" s="225" t="s">
        <v>309</v>
      </c>
    </row>
    <row r="5" spans="1:24">
      <c r="A5" s="161">
        <f xml:space="preserve"> SEARCH("|",$A$2,A4+1)</f>
        <v>121</v>
      </c>
      <c r="E5" s="161" cm="1">
        <f t="array" ref="E5" xml:space="preserve"> ROW() - ROW($2:$2)</f>
        <v>3</v>
      </c>
      <c r="F5" s="181" t="str">
        <f t="shared" si="0"/>
        <v>P</v>
      </c>
      <c r="G5" s="182" t="str">
        <f t="shared" si="1"/>
        <v>q</v>
      </c>
      <c r="I5" s="161">
        <v>3</v>
      </c>
      <c r="J5" s="176" t="str">
        <f t="shared" si="2"/>
        <v>q</v>
      </c>
      <c r="K5" s="176" t="str">
        <f t="shared" si="3"/>
        <v>ㄆ</v>
      </c>
      <c r="M5" s="161">
        <v>3</v>
      </c>
      <c r="N5" s="175" t="str">
        <f t="shared" si="4"/>
        <v/>
      </c>
      <c r="O5" s="175" t="str">
        <f t="shared" si="5"/>
        <v/>
      </c>
      <c r="Q5" s="161">
        <v>3</v>
      </c>
      <c r="R5" s="164" t="str">
        <f t="shared" si="6"/>
        <v>q</v>
      </c>
      <c r="S5" s="178" t="str">
        <f t="shared" si="7"/>
        <v>P</v>
      </c>
      <c r="T5" s="164" t="str">
        <f xml:space="preserve"> INDEX($K$3:$K$57, MATCH(表格1_337[[#This Row],[鍵盤位置]], $J$3:$J$57,0))</f>
        <v>ㄆ</v>
      </c>
      <c r="V5" s="223" t="str">
        <f xml:space="preserve"> INDEX($K$3:$K$44, MATCH(表格1_337[[#This Row],[鍵盤位置]], $J$3:$J$44,0))</f>
        <v>ㄆ</v>
      </c>
      <c r="W5" s="224" t="s">
        <v>66</v>
      </c>
      <c r="X5" s="225" t="s">
        <v>307</v>
      </c>
    </row>
    <row r="6" spans="1:24">
      <c r="A6" s="216" t="str">
        <f xml:space="preserve"> MID($A$2,A3+1, A4-A3-1)</f>
        <v>pbPmtTnlkgKGhZJCSzjcsaAOQoeEyYxX{}M0N[]RriIuU1239&gt;&lt;4578</v>
      </c>
      <c r="B6" s="217">
        <f xml:space="preserve"> LEN(A6)</f>
        <v>55</v>
      </c>
      <c r="E6" s="161" cm="1">
        <f t="array" ref="E6" xml:space="preserve"> ROW() - ROW($2:$2)</f>
        <v>4</v>
      </c>
      <c r="F6" s="186" t="str">
        <f t="shared" si="0"/>
        <v>m</v>
      </c>
      <c r="G6" s="187" t="str">
        <f t="shared" si="1"/>
        <v>a</v>
      </c>
      <c r="I6" s="161">
        <v>4</v>
      </c>
      <c r="J6" s="176" t="str">
        <f t="shared" si="2"/>
        <v>a</v>
      </c>
      <c r="K6" s="176" t="str">
        <f t="shared" si="3"/>
        <v>ㄇ</v>
      </c>
      <c r="M6" s="161">
        <v>4</v>
      </c>
      <c r="N6" s="175" t="str">
        <f t="shared" si="4"/>
        <v/>
      </c>
      <c r="O6" s="175" t="str">
        <f t="shared" si="5"/>
        <v/>
      </c>
      <c r="Q6" s="161">
        <v>4</v>
      </c>
      <c r="R6" s="164" t="str">
        <f t="shared" si="6"/>
        <v>a</v>
      </c>
      <c r="S6" s="178" t="str">
        <f t="shared" si="7"/>
        <v>m</v>
      </c>
      <c r="T6" s="164" t="str">
        <f xml:space="preserve"> INDEX($K$3:$K$57, MATCH(表格1_337[[#This Row],[鍵盤位置]], $J$3:$J$57,0))</f>
        <v>ㄇ</v>
      </c>
      <c r="V6" s="223" t="str">
        <f xml:space="preserve"> INDEX($K$3:$K$44, MATCH(表格1_337[[#This Row],[鍵盤位置]], $J$3:$J$44,0))</f>
        <v>ㄇ</v>
      </c>
      <c r="W6" s="224" t="s">
        <v>91</v>
      </c>
      <c r="X6" s="225" t="s">
        <v>308</v>
      </c>
    </row>
    <row r="7" spans="1:24">
      <c r="A7" s="216" t="str">
        <f xml:space="preserve"> MID($A$2,A4+1, A5-A4-1)</f>
        <v>1!qa2wsxeEdDcrRfvyYhn8*iIkoO9(lL,&lt;m0p;:/-uUjJ 43btgz657</v>
      </c>
      <c r="B7" s="217">
        <f xml:space="preserve"> LEN(A7)</f>
        <v>55</v>
      </c>
      <c r="E7" s="161" cm="1">
        <f t="array" ref="E7" xml:space="preserve"> ROW() - ROW($2:$2)</f>
        <v>5</v>
      </c>
      <c r="F7" s="181" t="str">
        <f t="shared" si="0"/>
        <v>t</v>
      </c>
      <c r="G7" s="182" t="str">
        <f t="shared" si="1"/>
        <v>2</v>
      </c>
      <c r="I7" s="161">
        <v>5</v>
      </c>
      <c r="J7" s="176" t="str">
        <f t="shared" si="2"/>
        <v>2</v>
      </c>
      <c r="K7" s="176" t="str">
        <f t="shared" si="3"/>
        <v>ㄉ</v>
      </c>
      <c r="M7" s="161">
        <v>5</v>
      </c>
      <c r="N7" s="175" t="str">
        <f t="shared" si="4"/>
        <v/>
      </c>
      <c r="O7" s="175" t="str">
        <f t="shared" si="5"/>
        <v/>
      </c>
      <c r="Q7" s="161">
        <v>5</v>
      </c>
      <c r="R7" s="164" t="str">
        <f t="shared" si="6"/>
        <v>2</v>
      </c>
      <c r="S7" s="178" t="str">
        <f t="shared" si="7"/>
        <v>t</v>
      </c>
      <c r="T7" s="164" t="str">
        <f xml:space="preserve"> INDEX($K$3:$K$57, MATCH(表格1_337[[#This Row],[鍵盤位置]], $J$3:$J$57,0))</f>
        <v>ㄉ</v>
      </c>
      <c r="V7" s="223" t="str">
        <f xml:space="preserve"> INDEX($K$3:$K$44, MATCH(表格1_337[[#This Row],[鍵盤位置]], $J$3:$J$44,0))</f>
        <v>ㄉ</v>
      </c>
      <c r="W7" s="224" t="s">
        <v>11</v>
      </c>
      <c r="X7" s="225" t="s">
        <v>306</v>
      </c>
    </row>
    <row r="8" spans="1:24">
      <c r="E8" s="161" cm="1">
        <f t="array" ref="E8" xml:space="preserve"> ROW() - ROW($2:$2)</f>
        <v>6</v>
      </c>
      <c r="F8" s="181" t="str">
        <f t="shared" si="0"/>
        <v>T</v>
      </c>
      <c r="G8" s="182" t="str">
        <f t="shared" si="1"/>
        <v>w</v>
      </c>
      <c r="I8" s="161">
        <v>6</v>
      </c>
      <c r="J8" s="176" t="str">
        <f t="shared" si="2"/>
        <v>w</v>
      </c>
      <c r="K8" s="176" t="str">
        <f t="shared" si="3"/>
        <v>ㄊ</v>
      </c>
      <c r="M8" s="161">
        <v>6</v>
      </c>
      <c r="N8" s="175" t="str">
        <f t="shared" si="4"/>
        <v/>
      </c>
      <c r="O8" s="175" t="str">
        <f t="shared" si="5"/>
        <v/>
      </c>
      <c r="Q8" s="161">
        <v>6</v>
      </c>
      <c r="R8" s="164" t="str">
        <f t="shared" si="6"/>
        <v>w</v>
      </c>
      <c r="S8" s="178" t="str">
        <f t="shared" si="7"/>
        <v>T</v>
      </c>
      <c r="T8" s="164" t="str">
        <f xml:space="preserve"> INDEX($K$3:$K$57, MATCH(表格1_337[[#This Row],[鍵盤位置]], $J$3:$J$57,0))</f>
        <v>ㄊ</v>
      </c>
      <c r="V8" s="223" t="str">
        <f xml:space="preserve"> INDEX($K$3:$K$44, MATCH(表格1_337[[#This Row],[鍵盤位置]], $J$3:$J$44,0))</f>
        <v>ㄊ</v>
      </c>
      <c r="W8" s="224" t="s">
        <v>40</v>
      </c>
      <c r="X8" s="225" t="s">
        <v>305</v>
      </c>
    </row>
    <row r="9" spans="1:24">
      <c r="E9" s="161" cm="1">
        <f t="array" ref="E9" xml:space="preserve"> ROW() - ROW($2:$2)</f>
        <v>7</v>
      </c>
      <c r="F9" s="181" t="str">
        <f t="shared" si="0"/>
        <v>n</v>
      </c>
      <c r="G9" s="182" t="str">
        <f t="shared" si="1"/>
        <v>s</v>
      </c>
      <c r="I9" s="161">
        <v>7</v>
      </c>
      <c r="J9" s="176" t="str">
        <f t="shared" si="2"/>
        <v>s</v>
      </c>
      <c r="K9" s="176" t="str">
        <f t="shared" si="3"/>
        <v>ㄋ</v>
      </c>
      <c r="M9" s="161">
        <v>7</v>
      </c>
      <c r="N9" s="175" t="str">
        <f t="shared" si="4"/>
        <v/>
      </c>
      <c r="O9" s="175" t="str">
        <f t="shared" si="5"/>
        <v/>
      </c>
      <c r="Q9" s="161">
        <v>7</v>
      </c>
      <c r="R9" s="164" t="str">
        <f t="shared" si="6"/>
        <v>s</v>
      </c>
      <c r="S9" s="178" t="str">
        <f t="shared" si="7"/>
        <v>n</v>
      </c>
      <c r="T9" s="164" t="str">
        <f xml:space="preserve"> INDEX($K$3:$K$57, MATCH(表格1_337[[#This Row],[鍵盤位置]], $J$3:$J$57,0))</f>
        <v>ㄋ</v>
      </c>
      <c r="V9" s="223" t="str">
        <f xml:space="preserve"> INDEX($K$3:$K$44, MATCH(表格1_337[[#This Row],[鍵盤位置]], $J$3:$J$44,0))</f>
        <v>ㄋ</v>
      </c>
      <c r="W9" s="224" t="s">
        <v>68</v>
      </c>
      <c r="X9" s="225" t="s">
        <v>304</v>
      </c>
    </row>
    <row r="10" spans="1:24">
      <c r="A10" s="219" t="s">
        <v>523</v>
      </c>
      <c r="E10" s="161" cm="1">
        <f t="array" ref="E10" xml:space="preserve"> ROW() - ROW($2:$2)</f>
        <v>8</v>
      </c>
      <c r="F10" s="191" t="str">
        <f t="shared" si="0"/>
        <v>l</v>
      </c>
      <c r="G10" s="192" t="str">
        <f t="shared" si="1"/>
        <v>x</v>
      </c>
      <c r="I10" s="161">
        <v>8</v>
      </c>
      <c r="J10" s="176" t="str">
        <f t="shared" si="2"/>
        <v>x</v>
      </c>
      <c r="K10" s="176" t="str">
        <f t="shared" si="3"/>
        <v>ㄌ</v>
      </c>
      <c r="M10" s="161">
        <v>8</v>
      </c>
      <c r="N10" s="175" t="str">
        <f t="shared" si="4"/>
        <v/>
      </c>
      <c r="O10" s="175" t="str">
        <f t="shared" si="5"/>
        <v/>
      </c>
      <c r="Q10" s="161">
        <v>8</v>
      </c>
      <c r="R10" s="164" t="str">
        <f t="shared" si="6"/>
        <v>x</v>
      </c>
      <c r="S10" s="178" t="str">
        <f t="shared" si="7"/>
        <v>l</v>
      </c>
      <c r="T10" s="164" t="str">
        <f xml:space="preserve"> INDEX($K$3:$K$57, MATCH(表格1_337[[#This Row],[鍵盤位置]], $J$3:$J$57,0))</f>
        <v>ㄌ</v>
      </c>
      <c r="V10" s="223" t="str">
        <f xml:space="preserve"> INDEX($K$3:$K$44, MATCH(表格1_337[[#This Row],[鍵盤位置]], $J$3:$J$44,0))</f>
        <v>ㄌ</v>
      </c>
      <c r="W10" s="224" t="s">
        <v>93</v>
      </c>
      <c r="X10" s="225" t="s">
        <v>303</v>
      </c>
    </row>
    <row r="11" spans="1:24">
      <c r="A11" s="218" t="s">
        <v>663</v>
      </c>
      <c r="E11" s="161" cm="1">
        <f t="array" ref="E11" xml:space="preserve"> ROW() - ROW($2:$2)</f>
        <v>9</v>
      </c>
      <c r="F11" s="172" t="str">
        <f t="shared" si="0"/>
        <v>k</v>
      </c>
      <c r="G11" s="173" t="str">
        <f t="shared" si="1"/>
        <v>e</v>
      </c>
      <c r="I11" s="161">
        <v>9</v>
      </c>
      <c r="J11" s="176" t="str">
        <f t="shared" si="2"/>
        <v>e</v>
      </c>
      <c r="K11" s="176" t="str">
        <f t="shared" si="3"/>
        <v>ㄍ</v>
      </c>
      <c r="M11" s="161">
        <v>9</v>
      </c>
      <c r="N11" s="175" t="str">
        <f t="shared" si="4"/>
        <v/>
      </c>
      <c r="O11" s="175" t="str">
        <f t="shared" si="5"/>
        <v/>
      </c>
      <c r="Q11" s="161">
        <v>9</v>
      </c>
      <c r="R11" s="164" t="str">
        <f t="shared" si="6"/>
        <v>e</v>
      </c>
      <c r="S11" s="178" t="str">
        <f t="shared" si="7"/>
        <v>k</v>
      </c>
      <c r="T11" s="164" t="str">
        <f xml:space="preserve"> INDEX($K$3:$K$57, MATCH(表格1_337[[#This Row],[鍵盤位置]], $J$3:$J$57,0))</f>
        <v>ㄍ</v>
      </c>
      <c r="V11" s="223" t="str">
        <f xml:space="preserve"> INDEX($K$3:$K$44, MATCH(表格1_337[[#This Row],[鍵盤位置]], $J$3:$J$44,0))</f>
        <v>ㄍ</v>
      </c>
      <c r="W11" s="224" t="s">
        <v>42</v>
      </c>
      <c r="X11" s="225" t="s">
        <v>302</v>
      </c>
    </row>
    <row r="12" spans="1:24">
      <c r="A12" s="161">
        <f xml:space="preserve"> SEARCH("|",$A$11,1)</f>
        <v>8</v>
      </c>
      <c r="E12" s="161" cm="1">
        <f t="array" ref="E12" xml:space="preserve"> ROW() - ROW($2:$2)</f>
        <v>10</v>
      </c>
      <c r="F12" s="181" t="str">
        <f t="shared" si="0"/>
        <v>g</v>
      </c>
      <c r="G12" s="182" t="str">
        <f t="shared" si="1"/>
        <v>E</v>
      </c>
      <c r="I12" s="161">
        <v>10</v>
      </c>
      <c r="J12" s="176" t="str">
        <f t="shared" si="2"/>
        <v>E</v>
      </c>
      <c r="K12" s="176" t="str">
        <f t="shared" si="3"/>
        <v>ㆣ</v>
      </c>
      <c r="M12" s="161">
        <v>10</v>
      </c>
      <c r="N12" s="175" t="str">
        <f t="shared" si="4"/>
        <v/>
      </c>
      <c r="O12" s="175" t="str">
        <f t="shared" si="5"/>
        <v/>
      </c>
      <c r="Q12" s="161">
        <v>10</v>
      </c>
      <c r="R12" s="164" t="str">
        <f t="shared" si="6"/>
        <v>E</v>
      </c>
      <c r="S12" s="178" t="str">
        <f t="shared" si="7"/>
        <v>g</v>
      </c>
      <c r="T12" s="164" t="str">
        <f xml:space="preserve"> INDEX($K$3:$K$57, MATCH(表格1_337[[#This Row],[鍵盤位置]], $J$3:$J$57,0))</f>
        <v>ㄍ</v>
      </c>
      <c r="V12" s="223" t="str">
        <f xml:space="preserve"> INDEX($K$3:$K$44, MATCH(表格1_337[[#This Row],[鍵盤位置]], $J$3:$J$44,0))</f>
        <v>ㄍ</v>
      </c>
      <c r="W12" s="224" t="s">
        <v>70</v>
      </c>
      <c r="X12" s="225" t="s">
        <v>301</v>
      </c>
    </row>
    <row r="13" spans="1:24">
      <c r="A13" s="161">
        <f xml:space="preserve"> SEARCH("|",$A$11,A12+1)</f>
        <v>64</v>
      </c>
      <c r="E13" s="161" cm="1">
        <f t="array" ref="E13" xml:space="preserve"> ROW() - ROW($2:$2)</f>
        <v>11</v>
      </c>
      <c r="F13" s="191" t="str">
        <f t="shared" si="0"/>
        <v>K</v>
      </c>
      <c r="G13" s="192" t="str">
        <f t="shared" si="1"/>
        <v>d</v>
      </c>
      <c r="I13" s="161">
        <v>11</v>
      </c>
      <c r="J13" s="176" t="str">
        <f t="shared" si="2"/>
        <v>d</v>
      </c>
      <c r="K13" s="176" t="str">
        <f t="shared" si="3"/>
        <v>ㄎ</v>
      </c>
      <c r="M13" s="161">
        <v>11</v>
      </c>
      <c r="N13" s="175" t="str">
        <f t="shared" si="4"/>
        <v/>
      </c>
      <c r="O13" s="175" t="str">
        <f t="shared" si="5"/>
        <v/>
      </c>
      <c r="Q13" s="161">
        <v>11</v>
      </c>
      <c r="R13" s="164" t="str">
        <f t="shared" si="6"/>
        <v>d</v>
      </c>
      <c r="S13" s="178" t="str">
        <f t="shared" si="7"/>
        <v>K</v>
      </c>
      <c r="T13" s="164" t="str">
        <f xml:space="preserve"> INDEX($K$3:$K$57, MATCH(表格1_337[[#This Row],[鍵盤位置]], $J$3:$J$57,0))</f>
        <v>ㄎ</v>
      </c>
      <c r="V13" s="223" t="str">
        <f xml:space="preserve"> INDEX($K$3:$K$44, MATCH(表格1_337[[#This Row],[鍵盤位置]], $J$3:$J$44,0))</f>
        <v>ㄎ</v>
      </c>
      <c r="W13" s="224" t="s">
        <v>95</v>
      </c>
      <c r="X13" s="225" t="s">
        <v>298</v>
      </c>
    </row>
    <row r="14" spans="1:24">
      <c r="A14" s="161">
        <f xml:space="preserve"> SEARCH("|",$A$11,A13+1)</f>
        <v>120</v>
      </c>
      <c r="E14" s="161" cm="1">
        <f t="array" ref="E14" xml:space="preserve"> ROW() - ROW($2:$2)</f>
        <v>12</v>
      </c>
      <c r="F14" s="172" t="str">
        <f t="shared" si="0"/>
        <v>G</v>
      </c>
      <c r="G14" s="173" t="str">
        <f t="shared" si="1"/>
        <v>D</v>
      </c>
      <c r="I14" s="161">
        <v>12</v>
      </c>
      <c r="J14" s="176" t="str">
        <f t="shared" si="2"/>
        <v>D</v>
      </c>
      <c r="K14" s="176" t="str">
        <f t="shared" si="3"/>
        <v>ㄫ</v>
      </c>
      <c r="M14" s="161">
        <v>12</v>
      </c>
      <c r="N14" s="175" t="str">
        <f t="shared" si="4"/>
        <v/>
      </c>
      <c r="O14" s="175" t="str">
        <f t="shared" si="5"/>
        <v/>
      </c>
      <c r="Q14" s="161">
        <v>12</v>
      </c>
      <c r="R14" s="164" t="str">
        <f t="shared" si="6"/>
        <v>D</v>
      </c>
      <c r="S14" s="178" t="str">
        <f t="shared" si="7"/>
        <v>G</v>
      </c>
      <c r="T14" s="164" t="str">
        <f xml:space="preserve"> INDEX($K$3:$K$57, MATCH(表格1_337[[#This Row],[鍵盤位置]], $J$3:$J$57,0))</f>
        <v>ㄎ</v>
      </c>
      <c r="V14" s="223" t="str">
        <f xml:space="preserve"> INDEX($K$3:$K$44, MATCH(表格1_337[[#This Row],[鍵盤位置]], $J$3:$J$44,0))</f>
        <v>ㄎ</v>
      </c>
      <c r="W14" s="224" t="s">
        <v>548</v>
      </c>
      <c r="X14" s="225" t="s">
        <v>550</v>
      </c>
    </row>
    <row r="15" spans="1:24">
      <c r="A15" s="216" t="str">
        <f xml:space="preserve"> MID($A$11,A12+1, A13-A12-1)</f>
        <v>1!qa2wsxeEdDcrRfvyYhn8*iIkoO9(lL,&lt;m0p;:/-uUjJ 43btgz657</v>
      </c>
      <c r="B15" s="217">
        <f xml:space="preserve"> LEN(A15)</f>
        <v>55</v>
      </c>
      <c r="E15" s="161" cm="1">
        <f t="array" ref="E15" xml:space="preserve"> ROW() - ROW($2:$2)</f>
        <v>13</v>
      </c>
      <c r="F15" s="181" t="str">
        <f t="shared" si="0"/>
        <v>h</v>
      </c>
      <c r="G15" s="182" t="str">
        <f t="shared" si="1"/>
        <v>c</v>
      </c>
      <c r="I15" s="161">
        <v>13</v>
      </c>
      <c r="J15" s="176" t="str">
        <f t="shared" si="2"/>
        <v>c</v>
      </c>
      <c r="K15" s="176" t="str">
        <f t="shared" si="3"/>
        <v>ㄏ</v>
      </c>
      <c r="M15" s="161">
        <v>13</v>
      </c>
      <c r="N15" s="175" t="str">
        <f t="shared" si="4"/>
        <v/>
      </c>
      <c r="O15" s="175" t="str">
        <f t="shared" si="5"/>
        <v/>
      </c>
      <c r="Q15" s="161">
        <v>13</v>
      </c>
      <c r="R15" s="164" t="str">
        <f t="shared" si="6"/>
        <v>c</v>
      </c>
      <c r="S15" s="178" t="str">
        <f t="shared" si="7"/>
        <v>h</v>
      </c>
      <c r="T15" s="164" t="str">
        <f xml:space="preserve"> INDEX($K$3:$K$57, MATCH(表格1_337[[#This Row],[鍵盤位置]], $J$3:$J$57,0))</f>
        <v>ㄏ</v>
      </c>
      <c r="V15" s="223" t="str">
        <f xml:space="preserve"> INDEX($K$3:$K$44, MATCH(表格1_337[[#This Row],[鍵盤位置]], $J$3:$J$44,0))</f>
        <v>ㄏ</v>
      </c>
      <c r="W15" s="224" t="s">
        <v>552</v>
      </c>
      <c r="X15" s="225" t="s">
        <v>554</v>
      </c>
    </row>
    <row r="16" spans="1:24">
      <c r="A16" s="216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17">
        <f xml:space="preserve"> LEN(A16)</f>
        <v>55</v>
      </c>
      <c r="E16" s="161" cm="1">
        <f t="array" ref="E16" xml:space="preserve"> ROW() - ROW($2:$2)</f>
        <v>14</v>
      </c>
      <c r="F16" s="186" t="str">
        <f t="shared" si="0"/>
        <v>Z</v>
      </c>
      <c r="G16" s="187" t="str">
        <f t="shared" si="1"/>
        <v>r</v>
      </c>
      <c r="I16" s="161">
        <v>14</v>
      </c>
      <c r="J16" s="176" t="str">
        <f t="shared" si="2"/>
        <v>r</v>
      </c>
      <c r="K16" s="176" t="str">
        <f t="shared" si="3"/>
        <v>ㄐ</v>
      </c>
      <c r="M16" s="161">
        <v>14</v>
      </c>
      <c r="N16" s="175" t="str">
        <f t="shared" si="4"/>
        <v/>
      </c>
      <c r="O16" s="175" t="str">
        <f t="shared" si="5"/>
        <v/>
      </c>
      <c r="Q16" s="161">
        <v>14</v>
      </c>
      <c r="R16" s="164" t="str">
        <f t="shared" si="6"/>
        <v>r</v>
      </c>
      <c r="S16" s="178" t="str">
        <f t="shared" si="7"/>
        <v>Z</v>
      </c>
      <c r="T16" s="164" t="str">
        <f xml:space="preserve"> INDEX($K$3:$K$57, MATCH(表格1_337[[#This Row],[鍵盤位置]], $J$3:$J$57,0))</f>
        <v>ㄐ</v>
      </c>
      <c r="V16" s="223" t="str">
        <f xml:space="preserve"> INDEX($K$3:$K$44, MATCH(表格1_337[[#This Row],[鍵盤位置]], $J$3:$J$44,0))</f>
        <v>ㄐ</v>
      </c>
      <c r="W16" s="224" t="s">
        <v>556</v>
      </c>
      <c r="X16" s="225" t="s">
        <v>557</v>
      </c>
    </row>
    <row r="17" spans="1:24">
      <c r="E17" s="161" cm="1">
        <f t="array" ref="E17" xml:space="preserve"> ROW() - ROW($2:$2)</f>
        <v>15</v>
      </c>
      <c r="F17" s="172" t="str">
        <f t="shared" si="0"/>
        <v>J</v>
      </c>
      <c r="G17" s="173" t="str">
        <f t="shared" si="1"/>
        <v>R</v>
      </c>
      <c r="I17" s="161">
        <v>15</v>
      </c>
      <c r="J17" s="176" t="str">
        <f t="shared" si="2"/>
        <v>R</v>
      </c>
      <c r="K17" s="176" t="str">
        <f t="shared" si="3"/>
        <v>ㆢ</v>
      </c>
      <c r="M17" s="161">
        <v>15</v>
      </c>
      <c r="N17" s="175" t="str">
        <f t="shared" si="4"/>
        <v/>
      </c>
      <c r="O17" s="175" t="str">
        <f t="shared" si="5"/>
        <v/>
      </c>
      <c r="Q17" s="161">
        <v>15</v>
      </c>
      <c r="R17" s="164" t="str">
        <f t="shared" si="6"/>
        <v>R</v>
      </c>
      <c r="S17" s="178" t="str">
        <f t="shared" si="7"/>
        <v>J</v>
      </c>
      <c r="T17" s="164" t="str">
        <f xml:space="preserve"> INDEX($K$3:$K$57, MATCH(表格1_337[[#This Row],[鍵盤位置]], $J$3:$J$57,0))</f>
        <v>ㄐ</v>
      </c>
      <c r="V17" s="223" t="str">
        <f xml:space="preserve"> INDEX($K$3:$K$44, MATCH(表格1_337[[#This Row],[鍵盤位置]], $J$3:$J$44,0))</f>
        <v>ㄐ</v>
      </c>
      <c r="W17" s="224" t="s">
        <v>45</v>
      </c>
      <c r="X17" s="225" t="s">
        <v>300</v>
      </c>
    </row>
    <row r="18" spans="1:24">
      <c r="E18" s="161" cm="1">
        <f t="array" ref="E18" xml:space="preserve"> ROW() - ROW($2:$2)</f>
        <v>16</v>
      </c>
      <c r="F18" s="181" t="str">
        <f t="shared" si="0"/>
        <v>C</v>
      </c>
      <c r="G18" s="182" t="str">
        <f t="shared" si="1"/>
        <v>f</v>
      </c>
      <c r="I18" s="161">
        <v>16</v>
      </c>
      <c r="J18" s="176" t="str">
        <f t="shared" si="2"/>
        <v>f</v>
      </c>
      <c r="K18" s="176" t="str">
        <f t="shared" si="3"/>
        <v>ㄑ</v>
      </c>
      <c r="M18" s="161">
        <v>16</v>
      </c>
      <c r="N18" s="175" t="str">
        <f t="shared" si="4"/>
        <v/>
      </c>
      <c r="O18" s="175" t="str">
        <f t="shared" si="5"/>
        <v/>
      </c>
      <c r="Q18" s="161">
        <v>16</v>
      </c>
      <c r="R18" s="164" t="str">
        <f t="shared" si="6"/>
        <v>f</v>
      </c>
      <c r="S18" s="178" t="str">
        <f t="shared" si="7"/>
        <v>C</v>
      </c>
      <c r="T18" s="164" t="str">
        <f xml:space="preserve"> INDEX($K$3:$K$57, MATCH(表格1_337[[#This Row],[鍵盤位置]], $J$3:$J$57,0))</f>
        <v>ㄑ</v>
      </c>
      <c r="V18" s="223" t="str">
        <f xml:space="preserve"> INDEX($K$3:$K$44, MATCH(表格1_337[[#This Row],[鍵盤位置]], $J$3:$J$44,0))</f>
        <v>ㄑ</v>
      </c>
      <c r="W18" s="224" t="s">
        <v>73</v>
      </c>
      <c r="X18" s="225" t="s">
        <v>299</v>
      </c>
    </row>
    <row r="19" spans="1:24">
      <c r="E19" s="161" cm="1">
        <f t="array" ref="E19" xml:space="preserve"> ROW() - ROW($2:$2)</f>
        <v>17</v>
      </c>
      <c r="F19" s="186" t="str">
        <f t="shared" si="0"/>
        <v>S</v>
      </c>
      <c r="G19" s="187" t="str">
        <f t="shared" si="1"/>
        <v>v</v>
      </c>
      <c r="I19" s="161">
        <v>17</v>
      </c>
      <c r="J19" s="176" t="str">
        <f t="shared" si="2"/>
        <v>v</v>
      </c>
      <c r="K19" s="176" t="str">
        <f t="shared" si="3"/>
        <v>ㄒ</v>
      </c>
      <c r="M19" s="161">
        <v>17</v>
      </c>
      <c r="N19" s="175" t="str">
        <f t="shared" si="4"/>
        <v/>
      </c>
      <c r="O19" s="175" t="str">
        <f t="shared" si="5"/>
        <v/>
      </c>
      <c r="Q19" s="161">
        <v>17</v>
      </c>
      <c r="R19" s="164" t="str">
        <f t="shared" si="6"/>
        <v>v</v>
      </c>
      <c r="S19" s="178" t="str">
        <f t="shared" si="7"/>
        <v>S</v>
      </c>
      <c r="T19" s="164" t="str">
        <f xml:space="preserve"> INDEX($K$3:$K$57, MATCH(表格1_337[[#This Row],[鍵盤位置]], $J$3:$J$57,0))</f>
        <v>ㄒ</v>
      </c>
      <c r="V19" s="223" t="str">
        <f xml:space="preserve"> INDEX($K$3:$K$44, MATCH(表格1_337[[#This Row],[鍵盤位置]], $J$3:$J$44,0))</f>
        <v>ㄒ</v>
      </c>
      <c r="W19" s="224" t="s">
        <v>211</v>
      </c>
      <c r="X19" s="225" t="s">
        <v>563</v>
      </c>
    </row>
    <row r="20" spans="1:24">
      <c r="A20" s="219" t="s">
        <v>535</v>
      </c>
      <c r="E20" s="161" cm="1">
        <f t="array" ref="E20" xml:space="preserve"> ROW() - ROW($2:$2)</f>
        <v>18</v>
      </c>
      <c r="F20" s="197" t="str">
        <f t="shared" si="0"/>
        <v>z</v>
      </c>
      <c r="G20" s="198" t="str">
        <f t="shared" si="1"/>
        <v>y</v>
      </c>
      <c r="I20" s="161">
        <v>18</v>
      </c>
      <c r="J20" s="176" t="str">
        <f t="shared" si="2"/>
        <v>y</v>
      </c>
      <c r="K20" s="176" t="str">
        <f t="shared" si="3"/>
        <v>ㄗ</v>
      </c>
      <c r="M20" s="161">
        <v>18</v>
      </c>
      <c r="N20" s="175" t="str">
        <f t="shared" si="4"/>
        <v/>
      </c>
      <c r="O20" s="175" t="str">
        <f t="shared" si="5"/>
        <v/>
      </c>
      <c r="Q20" s="161">
        <v>18</v>
      </c>
      <c r="R20" s="164" t="str">
        <f t="shared" si="6"/>
        <v>y</v>
      </c>
      <c r="S20" s="178" t="str">
        <f t="shared" si="7"/>
        <v>z</v>
      </c>
      <c r="T20" s="164" t="str">
        <f xml:space="preserve"> INDEX($K$3:$K$57, MATCH(表格1_337[[#This Row],[鍵盤位置]], $J$3:$J$57,0))</f>
        <v>ㄗ</v>
      </c>
      <c r="V20" s="223" t="str">
        <f xml:space="preserve"> INDEX($K$3:$K$44, MATCH(表格1_337[[#This Row],[鍵盤位置]], $J$3:$J$44,0))</f>
        <v>ㄗ</v>
      </c>
      <c r="W20" s="224" t="s">
        <v>211</v>
      </c>
      <c r="X20" s="225" t="s">
        <v>295</v>
      </c>
    </row>
    <row r="21" spans="1:24">
      <c r="A21" s="233"/>
      <c r="E21" s="161" cm="1">
        <f t="array" ref="E21" xml:space="preserve"> ROW() - ROW($2:$2)</f>
        <v>19</v>
      </c>
      <c r="F21" s="202" t="str">
        <f t="shared" si="0"/>
        <v>j</v>
      </c>
      <c r="G21" s="203" t="str">
        <f t="shared" si="1"/>
        <v>Y</v>
      </c>
      <c r="I21" s="161">
        <v>19</v>
      </c>
      <c r="J21" s="176" t="str">
        <f t="shared" si="2"/>
        <v>Y</v>
      </c>
      <c r="K21" s="176" t="str">
        <f t="shared" si="3"/>
        <v>ㆡ</v>
      </c>
      <c r="M21" s="161">
        <v>19</v>
      </c>
      <c r="N21" s="175" t="str">
        <f t="shared" si="4"/>
        <v/>
      </c>
      <c r="O21" s="175" t="str">
        <f t="shared" si="5"/>
        <v/>
      </c>
      <c r="Q21" s="161">
        <v>19</v>
      </c>
      <c r="R21" s="164" t="str">
        <f t="shared" si="6"/>
        <v>Y</v>
      </c>
      <c r="S21" s="178" t="str">
        <f t="shared" si="7"/>
        <v>j</v>
      </c>
      <c r="T21" s="164" t="str">
        <f xml:space="preserve"> INDEX($K$3:$K$57, MATCH(表格1_337[[#This Row],[鍵盤位置]], $J$3:$J$57,0))</f>
        <v>ㄗ</v>
      </c>
      <c r="V21" s="223" t="str">
        <f xml:space="preserve"> INDEX($K$3:$K$44, MATCH(表格1_337[[#This Row],[鍵盤位置]], $J$3:$J$44,0))</f>
        <v>ㄗ</v>
      </c>
      <c r="W21" s="224" t="s">
        <v>546</v>
      </c>
      <c r="X21" s="225" t="s">
        <v>297</v>
      </c>
    </row>
    <row r="22" spans="1:24">
      <c r="A22" s="161" t="e">
        <f xml:space="preserve"> SEARCH("|",A21,1)</f>
        <v>#VALUE!</v>
      </c>
      <c r="E22" s="161" cm="1">
        <f t="array" ref="E22" xml:space="preserve"> ROW() - ROW($2:$2)</f>
        <v>20</v>
      </c>
      <c r="F22" s="186" t="str">
        <f t="shared" si="0"/>
        <v>c</v>
      </c>
      <c r="G22" s="187" t="str">
        <f t="shared" si="1"/>
        <v>h</v>
      </c>
      <c r="I22" s="161">
        <v>20</v>
      </c>
      <c r="J22" s="176" t="str">
        <f t="shared" si="2"/>
        <v>h</v>
      </c>
      <c r="K22" s="176" t="str">
        <f t="shared" si="3"/>
        <v>ㄘ</v>
      </c>
      <c r="M22" s="161">
        <v>20</v>
      </c>
      <c r="N22" s="175" t="str">
        <f t="shared" si="4"/>
        <v/>
      </c>
      <c r="O22" s="175" t="str">
        <f t="shared" si="5"/>
        <v/>
      </c>
      <c r="Q22" s="161">
        <v>20</v>
      </c>
      <c r="R22" s="164" t="str">
        <f t="shared" si="6"/>
        <v>h</v>
      </c>
      <c r="S22" s="178" t="str">
        <f t="shared" si="7"/>
        <v>c</v>
      </c>
      <c r="T22" s="164" t="str">
        <f xml:space="preserve"> INDEX($K$3:$K$57, MATCH(表格1_337[[#This Row],[鍵盤位置]], $J$3:$J$57,0))</f>
        <v>ㄘ</v>
      </c>
      <c r="V22" s="223" t="str">
        <f xml:space="preserve"> INDEX($K$3:$K$44, MATCH(表格1_337[[#This Row],[鍵盤位置]], $J$3:$J$44,0))</f>
        <v>ㄘ</v>
      </c>
      <c r="W22" s="224" t="s">
        <v>566</v>
      </c>
      <c r="X22" s="225" t="s">
        <v>296</v>
      </c>
    </row>
    <row r="23" spans="1:24">
      <c r="A23" s="161" t="e">
        <f xml:space="preserve"> SEARCH("|",A21,A22+1)</f>
        <v>#VALUE!</v>
      </c>
      <c r="E23" s="161" cm="1">
        <f t="array" ref="E23" xml:space="preserve"> ROW() - ROW($2:$2)</f>
        <v>21</v>
      </c>
      <c r="F23" s="206" t="str">
        <f t="shared" si="0"/>
        <v>s</v>
      </c>
      <c r="G23" s="206" t="str">
        <f t="shared" si="1"/>
        <v>n</v>
      </c>
      <c r="I23" s="161">
        <v>21</v>
      </c>
      <c r="J23" s="176" t="str">
        <f t="shared" si="2"/>
        <v>n</v>
      </c>
      <c r="K23" s="176" t="str">
        <f t="shared" si="3"/>
        <v>ㄙ</v>
      </c>
      <c r="M23" s="161">
        <v>21</v>
      </c>
      <c r="N23" s="175" t="str">
        <f t="shared" si="4"/>
        <v/>
      </c>
      <c r="O23" s="175" t="str">
        <f t="shared" si="5"/>
        <v/>
      </c>
      <c r="Q23" s="161">
        <v>21</v>
      </c>
      <c r="R23" s="164" t="str">
        <f t="shared" si="6"/>
        <v>n</v>
      </c>
      <c r="S23" s="178" t="str">
        <f t="shared" si="7"/>
        <v>s</v>
      </c>
      <c r="T23" s="164" t="str">
        <f xml:space="preserve"> INDEX($K$3:$K$57, MATCH(表格1_337[[#This Row],[鍵盤位置]], $J$3:$J$57,0))</f>
        <v>ㄙ</v>
      </c>
      <c r="V23" s="223" t="str">
        <f xml:space="preserve"> INDEX($K$3:$K$44, MATCH(表格1_337[[#This Row],[鍵盤位置]], $J$3:$J$44,0))</f>
        <v>ㄙ</v>
      </c>
      <c r="W23" s="224" t="s">
        <v>99</v>
      </c>
      <c r="X23" s="225" t="s">
        <v>294</v>
      </c>
    </row>
    <row r="24" spans="1:24">
      <c r="A24" s="161" t="e">
        <f xml:space="preserve"> SEARCH("|",A21,A23+1)</f>
        <v>#VALUE!</v>
      </c>
      <c r="E24" s="161" cm="1">
        <f t="array" ref="E24" xml:space="preserve"> ROW() - ROW($2:$2)</f>
        <v>22</v>
      </c>
      <c r="F24" s="206" t="str">
        <f t="shared" si="0"/>
        <v>a</v>
      </c>
      <c r="G24" s="206" t="str">
        <f t="shared" si="1"/>
        <v>8</v>
      </c>
      <c r="I24" s="161">
        <v>22</v>
      </c>
      <c r="J24" s="176" t="str">
        <f t="shared" si="2"/>
        <v>8</v>
      </c>
      <c r="K24" s="176" t="str">
        <f t="shared" si="3"/>
        <v>ㄚ</v>
      </c>
      <c r="M24" s="161">
        <v>22</v>
      </c>
      <c r="N24" s="175" t="str">
        <f t="shared" si="4"/>
        <v/>
      </c>
      <c r="O24" s="175" t="str">
        <f t="shared" si="5"/>
        <v/>
      </c>
      <c r="Q24" s="161">
        <v>22</v>
      </c>
      <c r="R24" s="164" t="str">
        <f t="shared" si="6"/>
        <v>8</v>
      </c>
      <c r="S24" s="178" t="str">
        <f t="shared" si="7"/>
        <v>a</v>
      </c>
      <c r="T24" s="164" t="str">
        <f xml:space="preserve"> INDEX($K$3:$K$57, MATCH(表格1_337[[#This Row],[鍵盤位置]], $J$3:$J$57,0))</f>
        <v>ㄚ</v>
      </c>
      <c r="V24" s="223" t="str">
        <f xml:space="preserve"> INDEX($K$3:$K$44, MATCH(表格1_337[[#This Row],[鍵盤位置]], $J$3:$J$44,0))</f>
        <v>ㄚ</v>
      </c>
      <c r="W24" s="226" t="s">
        <v>49</v>
      </c>
      <c r="X24" s="225" t="s">
        <v>276</v>
      </c>
    </row>
    <row r="25" spans="1:24">
      <c r="A25" s="216" t="e">
        <f xml:space="preserve"> MID(A21,A22+1, A24-A23-1)</f>
        <v>#VALUE!</v>
      </c>
      <c r="B25" s="217" t="e">
        <f xml:space="preserve"> LEN(A25)</f>
        <v>#VALUE!</v>
      </c>
      <c r="E25" s="161" cm="1">
        <f t="array" ref="E25" xml:space="preserve"> ROW() - ROW($2:$2)</f>
        <v>23</v>
      </c>
      <c r="F25" s="206" t="str">
        <f t="shared" si="0"/>
        <v>A</v>
      </c>
      <c r="G25" s="206" t="str">
        <f t="shared" si="1"/>
        <v>*</v>
      </c>
      <c r="I25" s="161">
        <v>23</v>
      </c>
      <c r="J25" s="176" t="str">
        <f t="shared" si="2"/>
        <v>*</v>
      </c>
      <c r="K25" s="176" t="str">
        <f t="shared" si="3"/>
        <v>ㆩ</v>
      </c>
      <c r="M25" s="161">
        <v>23</v>
      </c>
      <c r="N25" s="175" t="str">
        <f t="shared" si="4"/>
        <v/>
      </c>
      <c r="O25" s="175" t="str">
        <f t="shared" si="5"/>
        <v/>
      </c>
      <c r="Q25" s="161">
        <v>23</v>
      </c>
      <c r="R25" s="164" t="str">
        <f t="shared" si="6"/>
        <v>*</v>
      </c>
      <c r="S25" s="178" t="str">
        <f t="shared" si="7"/>
        <v>A</v>
      </c>
      <c r="T25" s="164" t="str">
        <f xml:space="preserve"> INDEX($K$3:$K$57, MATCH(表格1_337[[#This Row],[鍵盤位置]], $J$3:$J$57,0))</f>
        <v>ㄅ</v>
      </c>
      <c r="V25" s="223" t="str">
        <f xml:space="preserve"> INDEX($K$3:$K$44, MATCH(表格1_337[[#This Row],[鍵盤位置]], $J$3:$J$44,0))</f>
        <v>ㄅ</v>
      </c>
      <c r="W25" s="226" t="s">
        <v>77</v>
      </c>
      <c r="X25" s="225" t="s">
        <v>274</v>
      </c>
    </row>
    <row r="26" spans="1:24">
      <c r="A26" s="216" t="e">
        <f xml:space="preserve"> MID(A21,A23+1, A24-A23-1)</f>
        <v>#VALUE!</v>
      </c>
      <c r="B26" s="217" t="e">
        <f xml:space="preserve"> LEN(A26)</f>
        <v>#VALUE!</v>
      </c>
      <c r="E26" s="161" cm="1">
        <f t="array" ref="E26" xml:space="preserve"> ROW() - ROW($2:$2)</f>
        <v>24</v>
      </c>
      <c r="F26" s="206" t="str">
        <f t="shared" si="0"/>
        <v>O</v>
      </c>
      <c r="G26" s="206" t="str">
        <f t="shared" si="1"/>
        <v>i</v>
      </c>
      <c r="I26" s="161">
        <v>24</v>
      </c>
      <c r="J26" s="176" t="str">
        <f t="shared" si="2"/>
        <v>i</v>
      </c>
      <c r="K26" s="176" t="str">
        <f t="shared" si="3"/>
        <v>ㆦ</v>
      </c>
      <c r="M26" s="161">
        <v>24</v>
      </c>
      <c r="N26" s="175" t="str">
        <f t="shared" si="4"/>
        <v/>
      </c>
      <c r="O26" s="175" t="str">
        <f t="shared" si="5"/>
        <v/>
      </c>
      <c r="Q26" s="161">
        <v>24</v>
      </c>
      <c r="R26" s="164" t="str">
        <f t="shared" si="6"/>
        <v>i</v>
      </c>
      <c r="S26" s="178" t="str">
        <f t="shared" si="7"/>
        <v>O</v>
      </c>
      <c r="T26" s="164" t="str">
        <f xml:space="preserve"> INDEX($K$3:$K$57, MATCH(表格1_337[[#This Row],[鍵盤位置]], $J$3:$J$57,0))</f>
        <v>ㆦ</v>
      </c>
      <c r="V26" s="223" t="str">
        <f xml:space="preserve"> INDEX($K$3:$K$44, MATCH(表格1_337[[#This Row],[鍵盤位置]], $J$3:$J$44,0))</f>
        <v>ㆦ</v>
      </c>
      <c r="W26" s="226" t="s">
        <v>66</v>
      </c>
      <c r="X26" s="225" t="s">
        <v>268</v>
      </c>
    </row>
    <row r="27" spans="1:24">
      <c r="E27" s="161" cm="1">
        <f t="array" ref="E27" xml:space="preserve"> ROW() - ROW($2:$2)</f>
        <v>25</v>
      </c>
      <c r="F27" s="206" t="str">
        <f t="shared" si="0"/>
        <v>Q</v>
      </c>
      <c r="G27" s="206" t="str">
        <f t="shared" si="1"/>
        <v>I</v>
      </c>
      <c r="I27" s="161">
        <v>25</v>
      </c>
      <c r="J27" s="176" t="str">
        <f t="shared" si="2"/>
        <v>I</v>
      </c>
      <c r="K27" s="176" t="str">
        <f t="shared" si="3"/>
        <v>ㆧ</v>
      </c>
      <c r="M27" s="161">
        <v>25</v>
      </c>
      <c r="N27" s="175" t="str">
        <f t="shared" si="4"/>
        <v/>
      </c>
      <c r="O27" s="175" t="str">
        <f t="shared" si="5"/>
        <v/>
      </c>
      <c r="Q27" s="161">
        <v>25</v>
      </c>
      <c r="R27" s="164" t="str">
        <f t="shared" si="6"/>
        <v>I</v>
      </c>
      <c r="S27" s="178" t="str">
        <f t="shared" si="7"/>
        <v>Q</v>
      </c>
      <c r="T27" s="164" t="str">
        <f xml:space="preserve"> INDEX($K$3:$K$57, MATCH(表格1_337[[#This Row],[鍵盤位置]], $J$3:$J$57,0))</f>
        <v>ㆦ</v>
      </c>
      <c r="V27" s="223" t="str">
        <f xml:space="preserve"> INDEX($K$3:$K$44, MATCH(表格1_337[[#This Row],[鍵盤位置]], $J$3:$J$44,0))</f>
        <v>ㆦ</v>
      </c>
      <c r="W27" s="226" t="s">
        <v>21</v>
      </c>
      <c r="X27" s="225" t="s">
        <v>278</v>
      </c>
    </row>
    <row r="28" spans="1:24">
      <c r="E28" s="161" cm="1">
        <f t="array" ref="E28" xml:space="preserve"> ROW() - ROW($2:$2)</f>
        <v>26</v>
      </c>
      <c r="F28" s="206" t="str">
        <f t="shared" si="0"/>
        <v>o</v>
      </c>
      <c r="G28" s="206" t="str">
        <f t="shared" si="1"/>
        <v>k</v>
      </c>
      <c r="I28" s="161">
        <v>26</v>
      </c>
      <c r="J28" s="176" t="str">
        <f t="shared" si="2"/>
        <v>k</v>
      </c>
      <c r="K28" s="176" t="str">
        <f t="shared" si="3"/>
        <v>ㄜ</v>
      </c>
      <c r="M28" s="161">
        <v>26</v>
      </c>
      <c r="N28" s="175" t="str">
        <f t="shared" si="4"/>
        <v/>
      </c>
      <c r="O28" s="175" t="str">
        <f t="shared" si="5"/>
        <v/>
      </c>
      <c r="Q28" s="161">
        <v>26</v>
      </c>
      <c r="R28" s="164" t="str">
        <f t="shared" si="6"/>
        <v>k</v>
      </c>
      <c r="S28" s="178" t="str">
        <f t="shared" si="7"/>
        <v>o</v>
      </c>
      <c r="T28" s="164" t="str">
        <f xml:space="preserve"> INDEX($K$3:$K$57, MATCH(表格1_337[[#This Row],[鍵盤位置]], $J$3:$J$57,0))</f>
        <v>ㄜ</v>
      </c>
      <c r="V28" s="223" t="str">
        <f xml:space="preserve"> INDEX($K$3:$K$44, MATCH(表格1_337[[#This Row],[鍵盤位置]], $J$3:$J$44,0))</f>
        <v>ㄜ</v>
      </c>
      <c r="W28" s="226" t="s">
        <v>51</v>
      </c>
      <c r="X28" s="225" t="s">
        <v>271</v>
      </c>
    </row>
    <row r="29" spans="1:24">
      <c r="E29" s="161" cm="1">
        <f t="array" ref="E29" xml:space="preserve"> ROW() - ROW($2:$2)</f>
        <v>27</v>
      </c>
      <c r="F29" s="206" t="str">
        <f t="shared" si="0"/>
        <v>e</v>
      </c>
      <c r="G29" s="206" t="str">
        <f t="shared" si="1"/>
        <v>o</v>
      </c>
      <c r="I29" s="161">
        <v>27</v>
      </c>
      <c r="J29" s="176" t="str">
        <f t="shared" si="2"/>
        <v>o</v>
      </c>
      <c r="K29" s="176" t="str">
        <f t="shared" si="3"/>
        <v>ㆤ</v>
      </c>
      <c r="M29" s="161">
        <v>27</v>
      </c>
      <c r="N29" s="175" t="str">
        <f t="shared" si="4"/>
        <v/>
      </c>
      <c r="O29" s="175" t="str">
        <f t="shared" si="5"/>
        <v/>
      </c>
      <c r="Q29" s="161">
        <v>27</v>
      </c>
      <c r="R29" s="164" t="str">
        <f t="shared" si="6"/>
        <v>o</v>
      </c>
      <c r="S29" s="178" t="str">
        <f t="shared" si="7"/>
        <v>e</v>
      </c>
      <c r="T29" s="164" t="str">
        <f xml:space="preserve"> INDEX($K$3:$K$57, MATCH(表格1_337[[#This Row],[鍵盤位置]], $J$3:$J$57,0))</f>
        <v>ㆤ</v>
      </c>
      <c r="V29" s="223" t="str">
        <f xml:space="preserve"> INDEX($K$3:$K$44, MATCH(表格1_337[[#This Row],[鍵盤位置]], $J$3:$J$44,0))</f>
        <v>ㆤ</v>
      </c>
      <c r="W29" s="226" t="s">
        <v>79</v>
      </c>
      <c r="X29" s="225" t="s">
        <v>269</v>
      </c>
    </row>
    <row r="30" spans="1:24">
      <c r="E30" s="161" cm="1">
        <f t="array" ref="E30" xml:space="preserve"> ROW() - ROW($2:$2)</f>
        <v>28</v>
      </c>
      <c r="F30" s="206" t="str">
        <f t="shared" si="0"/>
        <v>E</v>
      </c>
      <c r="G30" s="206" t="str">
        <f t="shared" si="1"/>
        <v>O</v>
      </c>
      <c r="I30" s="161">
        <v>28</v>
      </c>
      <c r="J30" s="176" t="str">
        <f t="shared" si="2"/>
        <v>O</v>
      </c>
      <c r="K30" s="176" t="str">
        <f t="shared" si="3"/>
        <v>ㆥ</v>
      </c>
      <c r="M30" s="161">
        <v>28</v>
      </c>
      <c r="N30" s="175" t="str">
        <f t="shared" si="4"/>
        <v/>
      </c>
      <c r="O30" s="175" t="str">
        <f t="shared" si="5"/>
        <v/>
      </c>
      <c r="Q30" s="161">
        <v>28</v>
      </c>
      <c r="R30" s="164" t="str">
        <f t="shared" si="6"/>
        <v>O</v>
      </c>
      <c r="S30" s="178" t="str">
        <f t="shared" si="7"/>
        <v>E</v>
      </c>
      <c r="T30" s="164" t="str">
        <f xml:space="preserve"> INDEX($K$3:$K$57, MATCH(表格1_337[[#This Row],[鍵盤位置]], $J$3:$J$57,0))</f>
        <v>ㆤ</v>
      </c>
      <c r="V30" s="223" t="str">
        <f xml:space="preserve"> INDEX($K$3:$K$44, MATCH(表格1_337[[#This Row],[鍵盤位置]], $J$3:$J$44,0))</f>
        <v>ㆤ</v>
      </c>
      <c r="W30" s="226" t="s">
        <v>372</v>
      </c>
      <c r="X30" s="225" t="s">
        <v>574</v>
      </c>
    </row>
    <row r="31" spans="1:24">
      <c r="E31" s="161" cm="1">
        <f t="array" ref="E31" xml:space="preserve"> ROW() - ROW($2:$2)</f>
        <v>29</v>
      </c>
      <c r="F31" s="206" t="str">
        <f t="shared" si="0"/>
        <v>y</v>
      </c>
      <c r="G31" s="206" t="str">
        <f t="shared" si="1"/>
        <v>9</v>
      </c>
      <c r="I31" s="161">
        <v>29</v>
      </c>
      <c r="J31" s="176" t="str">
        <f t="shared" si="2"/>
        <v>9</v>
      </c>
      <c r="K31" s="176" t="str">
        <f t="shared" si="3"/>
        <v>ㄞ</v>
      </c>
      <c r="M31" s="161">
        <v>29</v>
      </c>
      <c r="N31" s="175" t="str">
        <f t="shared" si="4"/>
        <v/>
      </c>
      <c r="O31" s="175" t="str">
        <f t="shared" si="5"/>
        <v/>
      </c>
      <c r="Q31" s="161">
        <v>29</v>
      </c>
      <c r="R31" s="164" t="str">
        <f t="shared" si="6"/>
        <v>9</v>
      </c>
      <c r="S31" s="178" t="str">
        <f t="shared" si="7"/>
        <v>y</v>
      </c>
      <c r="T31" s="164" t="str">
        <f xml:space="preserve"> INDEX($K$3:$K$57, MATCH(表格1_337[[#This Row],[鍵盤位置]], $J$3:$J$57,0))</f>
        <v>ㄞ</v>
      </c>
      <c r="V31" s="223" t="str">
        <f xml:space="preserve"> INDEX($K$3:$K$44, MATCH(表格1_337[[#This Row],[鍵盤位置]], $J$3:$J$44,0))</f>
        <v>ㄞ</v>
      </c>
      <c r="W31" s="226" t="s">
        <v>53</v>
      </c>
      <c r="X31" s="225" t="s">
        <v>265</v>
      </c>
    </row>
    <row r="32" spans="1:24">
      <c r="E32" s="161" cm="1">
        <f t="array" ref="E32" xml:space="preserve"> ROW() - ROW($2:$2)</f>
        <v>30</v>
      </c>
      <c r="F32" s="206" t="str">
        <f t="shared" si="0"/>
        <v>Y</v>
      </c>
      <c r="G32" s="206" t="str">
        <f t="shared" si="1"/>
        <v>(</v>
      </c>
      <c r="I32" s="161">
        <v>30</v>
      </c>
      <c r="J32" s="176" t="str">
        <f t="shared" si="2"/>
        <v>(</v>
      </c>
      <c r="K32" s="176" t="str">
        <f t="shared" si="3"/>
        <v>ㆮ</v>
      </c>
      <c r="M32" s="161">
        <v>30</v>
      </c>
      <c r="N32" s="175" t="str">
        <f t="shared" si="4"/>
        <v/>
      </c>
      <c r="O32" s="175" t="str">
        <f t="shared" si="5"/>
        <v/>
      </c>
      <c r="Q32" s="161">
        <v>30</v>
      </c>
      <c r="R32" s="164" t="str">
        <f t="shared" si="6"/>
        <v>(</v>
      </c>
      <c r="S32" s="178" t="str">
        <f t="shared" si="7"/>
        <v>Y</v>
      </c>
      <c r="T32" s="164" t="str">
        <f xml:space="preserve"> INDEX($K$3:$K$57, MATCH(表格1_337[[#This Row],[鍵盤位置]], $J$3:$J$57,0))</f>
        <v>ㆮ</v>
      </c>
      <c r="V32" s="223" t="str">
        <f xml:space="preserve"> INDEX($K$3:$K$44, MATCH(表格1_337[[#This Row],[鍵盤位置]], $J$3:$J$44,0))</f>
        <v>ㆮ</v>
      </c>
      <c r="W32" s="226" t="s">
        <v>375</v>
      </c>
      <c r="X32" s="225" t="s">
        <v>577</v>
      </c>
    </row>
    <row r="33" spans="5:24">
      <c r="E33" s="161" cm="1">
        <f t="array" ref="E33" xml:space="preserve"> ROW() - ROW($2:$2)</f>
        <v>31</v>
      </c>
      <c r="F33" s="206" t="str">
        <f t="shared" si="0"/>
        <v>x</v>
      </c>
      <c r="G33" s="206" t="str">
        <f t="shared" si="1"/>
        <v>l</v>
      </c>
      <c r="I33" s="161">
        <v>31</v>
      </c>
      <c r="J33" s="176" t="str">
        <f t="shared" si="2"/>
        <v>l</v>
      </c>
      <c r="K33" s="176" t="str">
        <f t="shared" si="3"/>
        <v>ㄠ</v>
      </c>
      <c r="M33" s="161">
        <v>31</v>
      </c>
      <c r="N33" s="175" t="str">
        <f t="shared" si="4"/>
        <v/>
      </c>
      <c r="O33" s="175" t="str">
        <f t="shared" si="5"/>
        <v/>
      </c>
      <c r="Q33" s="161">
        <v>31</v>
      </c>
      <c r="R33" s="164" t="str">
        <f t="shared" si="6"/>
        <v>l</v>
      </c>
      <c r="S33" s="178" t="str">
        <f t="shared" si="7"/>
        <v>x</v>
      </c>
      <c r="T33" s="164" t="str">
        <f xml:space="preserve"> INDEX($K$3:$K$57, MATCH(表格1_337[[#This Row],[鍵盤位置]], $J$3:$J$57,0))</f>
        <v>ㄠ</v>
      </c>
      <c r="V33" s="223" t="str">
        <f xml:space="preserve"> INDEX($K$3:$K$44, MATCH(表格1_337[[#This Row],[鍵盤位置]], $J$3:$J$44,0))</f>
        <v>ㄠ</v>
      </c>
      <c r="W33" s="226" t="s">
        <v>515</v>
      </c>
      <c r="X33" s="225" t="s">
        <v>580</v>
      </c>
    </row>
    <row r="34" spans="5:24">
      <c r="E34" s="161" cm="1">
        <f t="array" ref="E34" xml:space="preserve"> ROW() - ROW($2:$2)</f>
        <v>32</v>
      </c>
      <c r="F34" s="206" t="str">
        <f t="shared" si="0"/>
        <v>X</v>
      </c>
      <c r="G34" s="206" t="str">
        <f t="shared" si="1"/>
        <v>L</v>
      </c>
      <c r="I34" s="161">
        <v>32</v>
      </c>
      <c r="J34" s="176" t="str">
        <f t="shared" si="2"/>
        <v>L</v>
      </c>
      <c r="K34" s="176" t="str">
        <f t="shared" si="3"/>
        <v>ㆯ</v>
      </c>
      <c r="M34" s="161">
        <v>32</v>
      </c>
      <c r="N34" s="175" t="str">
        <f t="shared" si="4"/>
        <v/>
      </c>
      <c r="O34" s="175" t="str">
        <f t="shared" si="5"/>
        <v/>
      </c>
      <c r="Q34" s="161">
        <v>32</v>
      </c>
      <c r="R34" s="164" t="str">
        <f t="shared" si="6"/>
        <v>L</v>
      </c>
      <c r="S34" s="178" t="str">
        <f t="shared" si="7"/>
        <v>X</v>
      </c>
      <c r="T34" s="164" t="str">
        <f xml:space="preserve"> INDEX($K$3:$K$57, MATCH(表格1_337[[#This Row],[鍵盤位置]], $J$3:$J$57,0))</f>
        <v>ㄠ</v>
      </c>
      <c r="V34" s="223" t="str">
        <f xml:space="preserve"> INDEX($K$3:$K$44, MATCH(表格1_337[[#This Row],[鍵盤位置]], $J$3:$J$44,0))</f>
        <v>ㄠ</v>
      </c>
      <c r="W34" s="226" t="s">
        <v>509</v>
      </c>
      <c r="X34" s="225" t="s">
        <v>581</v>
      </c>
    </row>
    <row r="35" spans="5:24">
      <c r="E35" s="161" cm="1">
        <f t="array" ref="E35" xml:space="preserve"> ROW() - ROW($2:$2)</f>
        <v>33</v>
      </c>
      <c r="F35" s="206" t="str">
        <f t="shared" si="0"/>
        <v>{</v>
      </c>
      <c r="G35" s="206" t="str">
        <f t="shared" si="1"/>
        <v>,</v>
      </c>
      <c r="I35" s="161">
        <v>33</v>
      </c>
      <c r="J35" s="176" t="str">
        <f t="shared" si="2"/>
        <v>,</v>
      </c>
      <c r="K35" s="176" t="str">
        <f t="shared" si="3"/>
        <v>ㆰ</v>
      </c>
      <c r="M35" s="161">
        <v>33</v>
      </c>
      <c r="N35" s="175" t="str">
        <f t="shared" si="4"/>
        <v/>
      </c>
      <c r="O35" s="175" t="str">
        <f t="shared" si="5"/>
        <v/>
      </c>
      <c r="Q35" s="161">
        <v>33</v>
      </c>
      <c r="R35" s="164" t="str">
        <f t="shared" si="6"/>
        <v>,</v>
      </c>
      <c r="S35" s="178" t="str">
        <f t="shared" si="7"/>
        <v>{</v>
      </c>
      <c r="T35" s="164" t="str">
        <f xml:space="preserve"> INDEX($K$3:$K$57, MATCH(表格1_337[[#This Row],[鍵盤位置]], $J$3:$J$57,0))</f>
        <v>ㆰ</v>
      </c>
      <c r="V35" s="223" t="str">
        <f xml:space="preserve"> INDEX($K$3:$K$44, MATCH(表格1_337[[#This Row],[鍵盤位置]], $J$3:$J$44,0))</f>
        <v>ㆰ</v>
      </c>
      <c r="W35" s="226" t="s">
        <v>232</v>
      </c>
      <c r="X35" s="225" t="s">
        <v>267</v>
      </c>
    </row>
    <row r="36" spans="5:24">
      <c r="E36" s="161" cm="1">
        <f t="array" ref="E36" xml:space="preserve"> ROW() - ROW($2:$2)</f>
        <v>34</v>
      </c>
      <c r="F36" s="206" t="str">
        <f t="shared" si="0"/>
        <v>}</v>
      </c>
      <c r="G36" s="206" t="str">
        <f t="shared" si="1"/>
        <v>&lt;</v>
      </c>
      <c r="I36" s="161">
        <v>34</v>
      </c>
      <c r="J36" s="176" t="str">
        <f t="shared" si="2"/>
        <v>&lt;</v>
      </c>
      <c r="K36" s="176" t="str">
        <f t="shared" si="3"/>
        <v>ㆱ</v>
      </c>
      <c r="M36" s="161">
        <v>34</v>
      </c>
      <c r="N36" s="175" t="str">
        <f t="shared" si="4"/>
        <v/>
      </c>
      <c r="O36" s="175" t="str">
        <f t="shared" si="5"/>
        <v/>
      </c>
      <c r="Q36" s="161">
        <v>34</v>
      </c>
      <c r="R36" s="164" t="str">
        <f t="shared" si="6"/>
        <v>&lt;</v>
      </c>
      <c r="S36" s="178" t="str">
        <f t="shared" si="7"/>
        <v>}</v>
      </c>
      <c r="T36" s="164" t="str">
        <f xml:space="preserve"> INDEX($K$3:$K$57, MATCH(表格1_337[[#This Row],[鍵盤位置]], $J$3:$J$57,0))</f>
        <v>ㆱ</v>
      </c>
      <c r="V36" s="223" t="str">
        <f xml:space="preserve"> INDEX($K$3:$K$44, MATCH(表格1_337[[#This Row],[鍵盤位置]], $J$3:$J$44,0))</f>
        <v>ㆱ</v>
      </c>
      <c r="W36" s="226" t="s">
        <v>512</v>
      </c>
      <c r="X36" s="225" t="s">
        <v>584</v>
      </c>
    </row>
    <row r="37" spans="5:24">
      <c r="E37" s="161" cm="1">
        <f t="array" ref="E37" xml:space="preserve"> ROW() - ROW($2:$2)</f>
        <v>35</v>
      </c>
      <c r="F37" s="206" t="str">
        <f t="shared" si="0"/>
        <v>M</v>
      </c>
      <c r="G37" s="206" t="str">
        <f t="shared" si="1"/>
        <v>m</v>
      </c>
      <c r="I37" s="161">
        <v>35</v>
      </c>
      <c r="J37" s="176" t="str">
        <f t="shared" si="2"/>
        <v>m</v>
      </c>
      <c r="K37" s="176" t="str">
        <f t="shared" si="3"/>
        <v>ㆬ</v>
      </c>
      <c r="M37" s="161">
        <v>35</v>
      </c>
      <c r="N37" s="175" t="str">
        <f t="shared" si="4"/>
        <v/>
      </c>
      <c r="O37" s="175" t="str">
        <f t="shared" si="5"/>
        <v/>
      </c>
      <c r="Q37" s="161">
        <v>35</v>
      </c>
      <c r="R37" s="164" t="str">
        <f t="shared" si="6"/>
        <v>m</v>
      </c>
      <c r="S37" s="178" t="str">
        <f t="shared" si="7"/>
        <v>M</v>
      </c>
      <c r="T37" s="164" t="str">
        <f xml:space="preserve"> INDEX($K$3:$K$57, MATCH(表格1_337[[#This Row],[鍵盤位置]], $J$3:$J$57,0))</f>
        <v>ㆬ</v>
      </c>
      <c r="V37" s="223" t="str">
        <f xml:space="preserve"> INDEX($K$3:$K$44, MATCH(表格1_337[[#This Row],[鍵盤位置]], $J$3:$J$44,0))</f>
        <v>ㆬ</v>
      </c>
      <c r="W37" s="226" t="s">
        <v>217</v>
      </c>
      <c r="X37" s="225" t="s">
        <v>586</v>
      </c>
    </row>
    <row r="38" spans="5:24">
      <c r="E38" s="161" cm="1">
        <f t="array" ref="E38" xml:space="preserve"> ROW() - ROW($2:$2)</f>
        <v>36</v>
      </c>
      <c r="F38" s="206" t="str">
        <f t="shared" si="0"/>
        <v>0</v>
      </c>
      <c r="G38" s="206" t="str">
        <f t="shared" si="1"/>
        <v>0</v>
      </c>
      <c r="I38" s="161">
        <v>36</v>
      </c>
      <c r="J38" s="176" t="str">
        <f t="shared" si="2"/>
        <v>0</v>
      </c>
      <c r="K38" s="176" t="str">
        <f t="shared" si="3"/>
        <v>ㄢ</v>
      </c>
      <c r="M38" s="161">
        <v>36</v>
      </c>
      <c r="N38" s="175" t="str">
        <f t="shared" si="4"/>
        <v/>
      </c>
      <c r="O38" s="175" t="str">
        <f t="shared" si="5"/>
        <v/>
      </c>
      <c r="Q38" s="161">
        <v>36</v>
      </c>
      <c r="R38" s="164" t="str">
        <f t="shared" si="6"/>
        <v>0</v>
      </c>
      <c r="S38" s="178" t="str">
        <f t="shared" si="7"/>
        <v>0</v>
      </c>
      <c r="T38" s="164" t="str">
        <f xml:space="preserve"> INDEX($K$3:$K$57, MATCH(表格1_337[[#This Row],[鍵盤位置]], $J$3:$J$57,0))</f>
        <v>ㄢ</v>
      </c>
      <c r="V38" s="223" t="str">
        <f xml:space="preserve"> INDEX($K$3:$K$44, MATCH(表格1_337[[#This Row],[鍵盤位置]], $J$3:$J$44,0))</f>
        <v>ㄢ</v>
      </c>
      <c r="W38" s="226" t="s">
        <v>73</v>
      </c>
      <c r="X38" s="225" t="s">
        <v>266</v>
      </c>
    </row>
    <row r="39" spans="5:24">
      <c r="E39" s="161" cm="1">
        <f t="array" ref="E39" xml:space="preserve"> ROW() - ROW($2:$2)</f>
        <v>37</v>
      </c>
      <c r="F39" s="206" t="str">
        <f t="shared" si="0"/>
        <v>N</v>
      </c>
      <c r="G39" s="206" t="str">
        <f t="shared" si="1"/>
        <v>p</v>
      </c>
      <c r="I39" s="161">
        <v>37</v>
      </c>
      <c r="J39" s="176" t="str">
        <f t="shared" si="2"/>
        <v>p</v>
      </c>
      <c r="K39" s="176" t="str">
        <f t="shared" si="3"/>
        <v>ㄣ</v>
      </c>
      <c r="M39" s="161">
        <v>37</v>
      </c>
      <c r="N39" s="175" t="str">
        <f t="shared" si="4"/>
        <v/>
      </c>
      <c r="O39" s="175" t="str">
        <f t="shared" si="5"/>
        <v/>
      </c>
      <c r="Q39" s="161">
        <v>37</v>
      </c>
      <c r="R39" s="164" t="str">
        <f t="shared" si="6"/>
        <v>p</v>
      </c>
      <c r="S39" s="178" t="str">
        <f t="shared" si="7"/>
        <v>N</v>
      </c>
      <c r="T39" s="164" t="str">
        <f xml:space="preserve"> INDEX($K$3:$K$57, MATCH(表格1_337[[#This Row],[鍵盤位置]], $J$3:$J$57,0))</f>
        <v>ㄣ</v>
      </c>
      <c r="V39" s="223" t="str">
        <f xml:space="preserve"> INDEX($K$3:$K$44, MATCH(表格1_337[[#This Row],[鍵盤位置]], $J$3:$J$44,0))</f>
        <v>ㄣ</v>
      </c>
      <c r="W39" s="226" t="s">
        <v>503</v>
      </c>
      <c r="X39" s="225" t="s">
        <v>588</v>
      </c>
    </row>
    <row r="40" spans="5:24">
      <c r="E40" s="161" cm="1">
        <f t="array" ref="E40" xml:space="preserve"> ROW() - ROW($2:$2)</f>
        <v>38</v>
      </c>
      <c r="F40" s="206" t="str">
        <f t="shared" si="0"/>
        <v>[</v>
      </c>
      <c r="G40" s="206" t="str">
        <f t="shared" si="1"/>
        <v>;</v>
      </c>
      <c r="I40" s="161">
        <v>38</v>
      </c>
      <c r="J40" s="176" t="str">
        <f t="shared" si="2"/>
        <v>;</v>
      </c>
      <c r="K40" s="176" t="str">
        <f t="shared" si="3"/>
        <v>ㄤ</v>
      </c>
      <c r="M40" s="161">
        <v>38</v>
      </c>
      <c r="N40" s="175" t="str">
        <f t="shared" si="4"/>
        <v/>
      </c>
      <c r="O40" s="175" t="str">
        <f t="shared" si="5"/>
        <v/>
      </c>
      <c r="Q40" s="161">
        <v>38</v>
      </c>
      <c r="R40" s="164" t="str">
        <f t="shared" si="6"/>
        <v>;</v>
      </c>
      <c r="S40" s="178" t="str">
        <f t="shared" si="7"/>
        <v>[</v>
      </c>
      <c r="T40" s="164" t="str">
        <f xml:space="preserve"> INDEX($K$3:$K$57, MATCH(表格1_337[[#This Row],[鍵盤位置]], $J$3:$J$57,0))</f>
        <v>ㄤ</v>
      </c>
      <c r="V40" s="223" t="str">
        <f xml:space="preserve"> INDEX($K$3:$K$44, MATCH(表格1_337[[#This Row],[鍵盤位置]], $J$3:$J$44,0))</f>
        <v>ㄤ</v>
      </c>
      <c r="W40" s="226" t="s">
        <v>506</v>
      </c>
      <c r="X40" s="225" t="s">
        <v>589</v>
      </c>
    </row>
    <row r="41" spans="5:24">
      <c r="E41" s="161" cm="1">
        <f t="array" ref="E41" xml:space="preserve"> ROW() - ROW($2:$2)</f>
        <v>39</v>
      </c>
      <c r="F41" s="206" t="str">
        <f t="shared" si="0"/>
        <v>]</v>
      </c>
      <c r="G41" s="206" t="str">
        <f t="shared" si="1"/>
        <v>:</v>
      </c>
      <c r="I41" s="161">
        <v>39</v>
      </c>
      <c r="J41" s="176" t="str">
        <f t="shared" si="2"/>
        <v>:</v>
      </c>
      <c r="K41" s="176" t="str">
        <f t="shared" si="3"/>
        <v>ㆲ</v>
      </c>
      <c r="M41" s="161">
        <v>39</v>
      </c>
      <c r="N41" s="175" t="str">
        <f t="shared" si="4"/>
        <v/>
      </c>
      <c r="O41" s="175" t="str">
        <f t="shared" si="5"/>
        <v/>
      </c>
      <c r="Q41" s="161">
        <v>39</v>
      </c>
      <c r="R41" s="164" t="str">
        <f t="shared" si="6"/>
        <v>:</v>
      </c>
      <c r="S41" s="178" t="str">
        <f t="shared" si="7"/>
        <v>]</v>
      </c>
      <c r="T41" s="164" t="str">
        <f xml:space="preserve"> INDEX($K$3:$K$57, MATCH(表格1_337[[#This Row],[鍵盤位置]], $J$3:$J$57,0))</f>
        <v>ㆲ</v>
      </c>
      <c r="V41" s="223" t="str">
        <f xml:space="preserve"> INDEX($K$3:$K$44, MATCH(表格1_337[[#This Row],[鍵盤位置]], $J$3:$J$44,0))</f>
        <v>ㆲ</v>
      </c>
      <c r="W41" s="226" t="s">
        <v>212</v>
      </c>
      <c r="X41" s="225" t="s">
        <v>277</v>
      </c>
    </row>
    <row r="42" spans="5:24">
      <c r="E42" s="161" cm="1">
        <f t="array" ref="E42" xml:space="preserve"> ROW() - ROW($2:$2)</f>
        <v>40</v>
      </c>
      <c r="F42" s="206" t="str">
        <f t="shared" si="0"/>
        <v>R</v>
      </c>
      <c r="G42" s="206" t="str">
        <f t="shared" si="1"/>
        <v>/</v>
      </c>
      <c r="I42" s="161">
        <v>40</v>
      </c>
      <c r="J42" s="176" t="str">
        <f t="shared" si="2"/>
        <v>/</v>
      </c>
      <c r="K42" s="176" t="str">
        <f t="shared" si="3"/>
        <v>ㄥ</v>
      </c>
      <c r="M42" s="161">
        <v>40</v>
      </c>
      <c r="N42" s="175" t="str">
        <f t="shared" si="4"/>
        <v/>
      </c>
      <c r="O42" s="175" t="str">
        <f t="shared" si="5"/>
        <v/>
      </c>
      <c r="Q42" s="161">
        <v>40</v>
      </c>
      <c r="R42" s="164" t="str">
        <f t="shared" si="6"/>
        <v>/</v>
      </c>
      <c r="S42" s="178" t="str">
        <f t="shared" si="7"/>
        <v>R</v>
      </c>
      <c r="T42" s="164" t="str">
        <f xml:space="preserve"> INDEX($K$3:$K$57, MATCH(表格1_337[[#This Row],[鍵盤位置]], $J$3:$J$57,0))</f>
        <v>ㄥ</v>
      </c>
      <c r="V42" s="223" t="str">
        <f xml:space="preserve"> INDEX($K$3:$K$44, MATCH(表格1_337[[#This Row],[鍵盤位置]], $J$3:$J$44,0))</f>
        <v>ㄥ</v>
      </c>
      <c r="W42" s="226" t="s">
        <v>215</v>
      </c>
      <c r="X42" s="225" t="s">
        <v>275</v>
      </c>
    </row>
    <row r="43" spans="5:24">
      <c r="E43" s="161" cm="1">
        <f t="array" ref="E43" xml:space="preserve"> ROW() - ROW($2:$2)</f>
        <v>41</v>
      </c>
      <c r="F43" s="206" t="str">
        <f t="shared" si="0"/>
        <v>r</v>
      </c>
      <c r="G43" s="206" t="str">
        <f t="shared" si="1"/>
        <v>-</v>
      </c>
      <c r="I43" s="161">
        <v>41</v>
      </c>
      <c r="J43" s="176" t="str">
        <f t="shared" si="2"/>
        <v>-</v>
      </c>
      <c r="K43" s="176" t="str">
        <f t="shared" si="3"/>
        <v>ㆭ</v>
      </c>
      <c r="M43" s="161">
        <v>41</v>
      </c>
      <c r="N43" s="175" t="str">
        <f t="shared" si="4"/>
        <v/>
      </c>
      <c r="O43" s="175" t="str">
        <f t="shared" si="5"/>
        <v/>
      </c>
      <c r="Q43" s="161">
        <v>41</v>
      </c>
      <c r="R43" s="164" t="str">
        <f t="shared" si="6"/>
        <v>-</v>
      </c>
      <c r="S43" s="178" t="str">
        <f t="shared" si="7"/>
        <v>r</v>
      </c>
      <c r="T43" s="164" t="str">
        <f xml:space="preserve"> INDEX($K$3:$K$57, MATCH(表格1_337[[#This Row],[鍵盤位置]], $J$3:$J$57,0))</f>
        <v>ㆭ</v>
      </c>
      <c r="V43" s="223" t="str">
        <f xml:space="preserve"> INDEX($K$3:$K$44, MATCH(表格1_337[[#This Row],[鍵盤位置]], $J$3:$J$44,0))</f>
        <v>ㆭ</v>
      </c>
      <c r="W43" s="226" t="s">
        <v>216</v>
      </c>
      <c r="X43" s="225" t="s">
        <v>273</v>
      </c>
    </row>
    <row r="44" spans="5:24">
      <c r="E44" s="161" cm="1">
        <f t="array" ref="E44" xml:space="preserve"> ROW() - ROW($2:$2)</f>
        <v>42</v>
      </c>
      <c r="F44" s="206" t="str">
        <f t="shared" si="0"/>
        <v>i</v>
      </c>
      <c r="G44" s="206" t="str">
        <f t="shared" si="1"/>
        <v>u</v>
      </c>
      <c r="I44" s="161">
        <v>42</v>
      </c>
      <c r="J44" s="176" t="str">
        <f t="shared" si="2"/>
        <v>u</v>
      </c>
      <c r="K44" s="176" t="str">
        <f t="shared" si="3"/>
        <v>ㄧ</v>
      </c>
      <c r="M44" s="161">
        <v>42</v>
      </c>
      <c r="N44" s="175" t="str">
        <f t="shared" si="4"/>
        <v/>
      </c>
      <c r="O44" s="175" t="str">
        <f t="shared" si="5"/>
        <v/>
      </c>
      <c r="Q44" s="161">
        <v>42</v>
      </c>
      <c r="R44" s="164" t="str">
        <f t="shared" si="6"/>
        <v>u</v>
      </c>
      <c r="S44" s="178" t="str">
        <f t="shared" si="7"/>
        <v>i</v>
      </c>
      <c r="T44" s="164" t="str">
        <f xml:space="preserve"> INDEX($K$3:$K$57, MATCH(表格1_337[[#This Row],[鍵盤位置]], $J$3:$J$57,0))</f>
        <v>ㄧ</v>
      </c>
      <c r="V44" s="223" t="str">
        <f xml:space="preserve"> INDEX($K$3:$K$44, MATCH(表格1_337[[#This Row],[鍵盤位置]], $J$3:$J$44,0))</f>
        <v>ㄧ</v>
      </c>
      <c r="W44" s="226" t="s">
        <v>214</v>
      </c>
      <c r="X44" s="225" t="s">
        <v>272</v>
      </c>
    </row>
    <row r="45" spans="5:24">
      <c r="E45" s="161" cm="1">
        <f t="array" ref="E45" xml:space="preserve"> ROW() - ROW($2:$2)</f>
        <v>43</v>
      </c>
      <c r="F45" s="206" t="str">
        <f t="shared" si="0"/>
        <v>I</v>
      </c>
      <c r="G45" s="206" t="str">
        <f t="shared" si="1"/>
        <v>U</v>
      </c>
      <c r="I45" s="161">
        <v>43</v>
      </c>
      <c r="J45" s="176" t="str">
        <f t="shared" si="2"/>
        <v>U</v>
      </c>
      <c r="K45" s="176" t="str">
        <f t="shared" si="3"/>
        <v>ㆪ</v>
      </c>
      <c r="O45" s="161"/>
      <c r="Q45" s="161">
        <v>43</v>
      </c>
      <c r="R45" s="164" t="str">
        <f t="shared" si="6"/>
        <v>U</v>
      </c>
      <c r="S45" s="178" t="str">
        <f t="shared" si="7"/>
        <v>I</v>
      </c>
      <c r="T45" s="164" t="str">
        <f xml:space="preserve"> INDEX($K$3:$K$57, MATCH(表格1_337[[#This Row],[鍵盤位置]], $J$3:$J$57,0))</f>
        <v>ㄧ</v>
      </c>
    </row>
    <row r="46" spans="5:24">
      <c r="E46" s="161" cm="1">
        <f t="array" ref="E46" xml:space="preserve"> ROW() - ROW($2:$2)</f>
        <v>44</v>
      </c>
      <c r="F46" s="206" t="str">
        <f t="shared" si="0"/>
        <v>u</v>
      </c>
      <c r="G46" s="206" t="str">
        <f t="shared" si="1"/>
        <v>j</v>
      </c>
      <c r="I46" s="161">
        <v>44</v>
      </c>
      <c r="J46" s="176" t="str">
        <f t="shared" si="2"/>
        <v>j</v>
      </c>
      <c r="K46" s="176" t="str">
        <f t="shared" si="3"/>
        <v>ㄨ</v>
      </c>
      <c r="Q46" s="161">
        <v>44</v>
      </c>
      <c r="R46" s="164" t="str">
        <f t="shared" si="6"/>
        <v>j</v>
      </c>
      <c r="S46" s="178" t="str">
        <f t="shared" si="7"/>
        <v>u</v>
      </c>
      <c r="T46" s="164" t="str">
        <f xml:space="preserve"> INDEX($K$3:$K$57, MATCH(表格1_337[[#This Row],[鍵盤位置]], $J$3:$J$57,0))</f>
        <v>ㄨ</v>
      </c>
    </row>
    <row r="47" spans="5:24">
      <c r="E47" s="161" cm="1">
        <f t="array" ref="E47" xml:space="preserve"> ROW() - ROW($2:$2)</f>
        <v>45</v>
      </c>
      <c r="F47" s="206" t="str">
        <f t="shared" si="0"/>
        <v>U</v>
      </c>
      <c r="G47" s="206" t="str">
        <f t="shared" si="1"/>
        <v>J</v>
      </c>
      <c r="I47" s="161">
        <v>45</v>
      </c>
      <c r="J47" s="176" t="str">
        <f t="shared" si="2"/>
        <v>J</v>
      </c>
      <c r="K47" s="176" t="str">
        <f t="shared" si="3"/>
        <v>ㆫ</v>
      </c>
      <c r="Q47" s="161">
        <v>45</v>
      </c>
      <c r="R47" s="164" t="str">
        <f t="shared" si="6"/>
        <v>J</v>
      </c>
      <c r="S47" s="178" t="str">
        <f t="shared" si="7"/>
        <v>U</v>
      </c>
      <c r="T47" s="164" t="str">
        <f xml:space="preserve"> INDEX($K$3:$K$57, MATCH(表格1_337[[#This Row],[鍵盤位置]], $J$3:$J$57,0))</f>
        <v>ㄨ</v>
      </c>
    </row>
    <row r="48" spans="5:24">
      <c r="E48" s="161" cm="1">
        <f t="array" ref="E48" xml:space="preserve"> ROW() - ROW($2:$2)</f>
        <v>46</v>
      </c>
      <c r="F48" s="206" t="str">
        <f t="shared" si="0"/>
        <v>1</v>
      </c>
      <c r="G48" s="206" t="str">
        <f t="shared" si="1"/>
        <v xml:space="preserve"> </v>
      </c>
      <c r="I48" s="161">
        <v>46</v>
      </c>
      <c r="J48" s="176" t="str">
        <f t="shared" si="2"/>
        <v xml:space="preserve"> </v>
      </c>
      <c r="K48" s="176" t="str">
        <f t="shared" si="3"/>
        <v xml:space="preserve"> </v>
      </c>
      <c r="Q48" s="161">
        <v>46</v>
      </c>
      <c r="R48" s="164" t="str">
        <f t="shared" si="6"/>
        <v xml:space="preserve"> </v>
      </c>
      <c r="S48" s="178" t="str">
        <f t="shared" si="7"/>
        <v>1</v>
      </c>
      <c r="T48" s="164" t="str">
        <f xml:space="preserve"> INDEX($K$3:$K$57, MATCH(表格1_337[[#This Row],[鍵盤位置]], $J$3:$J$57,0))</f>
        <v xml:space="preserve"> </v>
      </c>
    </row>
    <row r="49" spans="5:20">
      <c r="E49" s="161" cm="1">
        <f t="array" ref="E49" xml:space="preserve"> ROW() - ROW($2:$2)</f>
        <v>47</v>
      </c>
      <c r="F49" s="206" t="str">
        <f t="shared" si="0"/>
        <v>2</v>
      </c>
      <c r="G49" s="206" t="str">
        <f t="shared" si="1"/>
        <v>4</v>
      </c>
      <c r="I49" s="161">
        <v>47</v>
      </c>
      <c r="J49" s="176" t="str">
        <f t="shared" si="2"/>
        <v>4</v>
      </c>
      <c r="K49" s="176" t="str">
        <f t="shared" si="3"/>
        <v>ˋ</v>
      </c>
      <c r="Q49" s="161">
        <v>47</v>
      </c>
      <c r="R49" s="164" t="str">
        <f t="shared" si="6"/>
        <v>4</v>
      </c>
      <c r="S49" s="178" t="str">
        <f t="shared" si="7"/>
        <v>2</v>
      </c>
      <c r="T49" s="164" t="str">
        <f xml:space="preserve"> INDEX($K$3:$K$57, MATCH(表格1_337[[#This Row],[鍵盤位置]], $J$3:$J$57,0))</f>
        <v>ˋ</v>
      </c>
    </row>
    <row r="50" spans="5:20">
      <c r="E50" s="161" cm="1">
        <f t="array" ref="E50" xml:space="preserve"> ROW() - ROW($2:$2)</f>
        <v>48</v>
      </c>
      <c r="F50" s="206" t="str">
        <f t="shared" si="0"/>
        <v>3</v>
      </c>
      <c r="G50" s="206" t="str">
        <f t="shared" si="1"/>
        <v>3</v>
      </c>
      <c r="I50" s="161">
        <v>48</v>
      </c>
      <c r="J50" s="176" t="str">
        <f t="shared" si="2"/>
        <v>3</v>
      </c>
      <c r="K50" s="176" t="str">
        <f t="shared" si="3"/>
        <v>˪</v>
      </c>
      <c r="Q50" s="161">
        <v>48</v>
      </c>
      <c r="R50" s="164" t="str">
        <f t="shared" si="6"/>
        <v>3</v>
      </c>
      <c r="S50" s="178" t="str">
        <f t="shared" si="7"/>
        <v>3</v>
      </c>
      <c r="T50" s="164" t="str">
        <f xml:space="preserve"> INDEX($K$3:$K$57, MATCH(表格1_337[[#This Row],[鍵盤位置]], $J$3:$J$57,0))</f>
        <v>˪</v>
      </c>
    </row>
    <row r="51" spans="5:20">
      <c r="E51" s="161" cm="1">
        <f t="array" ref="E51" xml:space="preserve"> ROW() - ROW($2:$2)</f>
        <v>49</v>
      </c>
      <c r="F51" s="206" t="str">
        <f t="shared" si="0"/>
        <v>9</v>
      </c>
      <c r="G51" s="206" t="str">
        <f t="shared" si="1"/>
        <v>b</v>
      </c>
      <c r="I51" s="161">
        <v>49</v>
      </c>
      <c r="J51" s="176" t="str">
        <f t="shared" si="2"/>
        <v>b</v>
      </c>
      <c r="K51" s="176" t="str">
        <f t="shared" si="3"/>
        <v>ㆴ</v>
      </c>
      <c r="Q51" s="161">
        <v>49</v>
      </c>
      <c r="R51" s="164" t="str">
        <f t="shared" si="6"/>
        <v>b</v>
      </c>
      <c r="S51" s="178" t="str">
        <f t="shared" si="7"/>
        <v>9</v>
      </c>
      <c r="T51" s="164" t="str">
        <f xml:space="preserve"> INDEX($K$3:$K$57, MATCH(表格1_337[[#This Row],[鍵盤位置]], $J$3:$J$57,0))</f>
        <v>ㆴ</v>
      </c>
    </row>
    <row r="52" spans="5:20">
      <c r="E52" s="161" cm="1">
        <f t="array" ref="E52" xml:space="preserve"> ROW() - ROW($2:$2)</f>
        <v>50</v>
      </c>
      <c r="F52" s="206" t="str">
        <f t="shared" si="0"/>
        <v>&gt;</v>
      </c>
      <c r="G52" s="206" t="str">
        <f t="shared" si="1"/>
        <v>t</v>
      </c>
      <c r="I52" s="161">
        <v>50</v>
      </c>
      <c r="J52" s="176" t="str">
        <f t="shared" si="2"/>
        <v>t</v>
      </c>
      <c r="K52" s="176" t="str">
        <f t="shared" si="3"/>
        <v>ㆵ</v>
      </c>
      <c r="Q52" s="161">
        <v>50</v>
      </c>
      <c r="R52" s="164" t="str">
        <f t="shared" si="6"/>
        <v>t</v>
      </c>
      <c r="S52" s="178" t="str">
        <f t="shared" si="7"/>
        <v>&gt;</v>
      </c>
      <c r="T52" s="164" t="str">
        <f xml:space="preserve"> INDEX($K$3:$K$57, MATCH(表格1_337[[#This Row],[鍵盤位置]], $J$3:$J$57,0))</f>
        <v>ㆵ</v>
      </c>
    </row>
    <row r="53" spans="5:20">
      <c r="E53" s="161" cm="1">
        <f t="array" ref="E53" xml:space="preserve"> ROW() - ROW($2:$2)</f>
        <v>51</v>
      </c>
      <c r="F53" s="206" t="str">
        <f t="shared" si="0"/>
        <v>&lt;</v>
      </c>
      <c r="G53" s="206" t="str">
        <f t="shared" si="1"/>
        <v>g</v>
      </c>
      <c r="I53" s="161">
        <v>51</v>
      </c>
      <c r="J53" s="176" t="str">
        <f t="shared" si="2"/>
        <v>g</v>
      </c>
      <c r="K53" s="176" t="str">
        <f t="shared" si="3"/>
        <v>ㆻ</v>
      </c>
      <c r="Q53" s="161">
        <v>51</v>
      </c>
      <c r="R53" s="164" t="str">
        <f t="shared" si="6"/>
        <v>g</v>
      </c>
      <c r="S53" s="178" t="str">
        <f t="shared" si="7"/>
        <v>&lt;</v>
      </c>
      <c r="T53" s="164" t="str">
        <f xml:space="preserve"> INDEX($K$3:$K$57, MATCH(表格1_337[[#This Row],[鍵盤位置]], $J$3:$J$57,0))</f>
        <v>ㆻ</v>
      </c>
    </row>
    <row r="54" spans="5:20">
      <c r="E54" s="161" cm="1">
        <f t="array" ref="E54" xml:space="preserve"> ROW() - ROW($2:$2)</f>
        <v>52</v>
      </c>
      <c r="F54" s="206" t="str">
        <f t="shared" si="0"/>
        <v>4</v>
      </c>
      <c r="G54" s="206" t="str">
        <f t="shared" si="1"/>
        <v>z</v>
      </c>
      <c r="I54" s="161">
        <v>52</v>
      </c>
      <c r="J54" s="176" t="str">
        <f t="shared" si="2"/>
        <v>z</v>
      </c>
      <c r="K54" s="176" t="str">
        <f t="shared" si="3"/>
        <v>ㆷ</v>
      </c>
      <c r="Q54" s="161">
        <v>52</v>
      </c>
      <c r="R54" s="164" t="str">
        <f t="shared" si="6"/>
        <v>z</v>
      </c>
      <c r="S54" s="178" t="str">
        <f t="shared" si="7"/>
        <v>4</v>
      </c>
      <c r="T54" s="164" t="str">
        <f xml:space="preserve"> INDEX($K$3:$K$57, MATCH(表格1_337[[#This Row],[鍵盤位置]], $J$3:$J$57,0))</f>
        <v>ㆷ</v>
      </c>
    </row>
    <row r="55" spans="5:20">
      <c r="E55" s="161" cm="1">
        <f t="array" ref="E55" xml:space="preserve"> ROW() - ROW($2:$2)</f>
        <v>53</v>
      </c>
      <c r="F55" s="206" t="str">
        <f t="shared" si="0"/>
        <v>5</v>
      </c>
      <c r="G55" s="206" t="str">
        <f t="shared" si="1"/>
        <v>6</v>
      </c>
      <c r="I55" s="161">
        <v>53</v>
      </c>
      <c r="J55" s="176" t="str">
        <f t="shared" si="2"/>
        <v>6</v>
      </c>
      <c r="K55" s="176" t="str">
        <f t="shared" si="3"/>
        <v>ˊ</v>
      </c>
      <c r="Q55" s="161">
        <v>53</v>
      </c>
      <c r="R55" s="164" t="str">
        <f t="shared" si="6"/>
        <v>6</v>
      </c>
      <c r="S55" s="178" t="str">
        <f t="shared" si="7"/>
        <v>5</v>
      </c>
      <c r="T55" s="164" t="str">
        <f xml:space="preserve"> INDEX($K$3:$K$57, MATCH(表格1_337[[#This Row],[鍵盤位置]], $J$3:$J$57,0))</f>
        <v>ˊ</v>
      </c>
    </row>
    <row r="56" spans="5:20">
      <c r="E56" s="161" cm="1">
        <f t="array" ref="E56" xml:space="preserve"> ROW() - ROW($2:$2)</f>
        <v>54</v>
      </c>
      <c r="F56" s="206" t="str">
        <f t="shared" si="0"/>
        <v>7</v>
      </c>
      <c r="G56" s="206" t="str">
        <f t="shared" si="1"/>
        <v>5</v>
      </c>
      <c r="I56" s="161">
        <v>54</v>
      </c>
      <c r="J56" s="176" t="str">
        <f t="shared" si="2"/>
        <v>5</v>
      </c>
      <c r="K56" s="176" t="str">
        <f t="shared" si="3"/>
        <v>˫</v>
      </c>
      <c r="Q56" s="161">
        <v>54</v>
      </c>
      <c r="R56" s="164" t="str">
        <f t="shared" si="6"/>
        <v>5</v>
      </c>
      <c r="S56" s="178" t="str">
        <f t="shared" si="7"/>
        <v>7</v>
      </c>
      <c r="T56" s="164" t="str">
        <f xml:space="preserve"> INDEX($K$3:$K$57, MATCH(表格1_337[[#This Row],[鍵盤位置]], $J$3:$J$57,0))</f>
        <v>˫</v>
      </c>
    </row>
    <row r="57" spans="5:20">
      <c r="E57" s="161" cm="1">
        <f t="array" ref="E57" xml:space="preserve"> ROW() - ROW($2:$2)</f>
        <v>55</v>
      </c>
      <c r="F57" s="206" t="str">
        <f t="shared" si="0"/>
        <v>8</v>
      </c>
      <c r="G57" s="206" t="str">
        <f t="shared" si="1"/>
        <v>7</v>
      </c>
      <c r="I57" s="161">
        <v>55</v>
      </c>
      <c r="J57" s="176" t="str">
        <f t="shared" si="2"/>
        <v>7</v>
      </c>
      <c r="K57" s="176" t="str">
        <f t="shared" si="3"/>
        <v>˙</v>
      </c>
      <c r="Q57" s="161">
        <v>55</v>
      </c>
      <c r="R57" s="164" t="str">
        <f t="shared" si="6"/>
        <v>7</v>
      </c>
      <c r="S57" s="178" t="str">
        <f t="shared" si="7"/>
        <v>8</v>
      </c>
      <c r="T57" s="164" t="str">
        <f xml:space="preserve"> INDEX($K$3:$K$57, MATCH(表格1_337[[#This Row],[鍵盤位置]], $J$3:$J$57,0))</f>
        <v>˙</v>
      </c>
    </row>
    <row r="58" spans="5:20">
      <c r="R58" s="164"/>
      <c r="S58" s="178"/>
      <c r="T58" s="164"/>
    </row>
    <row r="59" spans="5:20">
      <c r="R59" s="164"/>
      <c r="S59" s="178"/>
      <c r="T59" s="164"/>
    </row>
    <row r="60" spans="5:20">
      <c r="R60" s="164"/>
      <c r="S60" s="178"/>
      <c r="T60" s="164"/>
    </row>
    <row r="61" spans="5:20">
      <c r="R61" s="164"/>
      <c r="S61" s="178"/>
      <c r="T61" s="164"/>
    </row>
    <row r="62" spans="5:20">
      <c r="R62" s="164"/>
      <c r="S62" s="178"/>
      <c r="T62" s="164"/>
    </row>
    <row r="63" spans="5:20">
      <c r="R63" s="164"/>
      <c r="S63" s="178"/>
      <c r="T63" s="164"/>
    </row>
    <row r="64" spans="5:20">
      <c r="R64" s="164"/>
      <c r="S64" s="178"/>
      <c r="T64" s="164"/>
    </row>
    <row r="65" spans="18:20">
      <c r="R65" s="164"/>
      <c r="S65" s="178"/>
      <c r="T65" s="164"/>
    </row>
    <row r="66" spans="18:20">
      <c r="R66" s="164"/>
      <c r="S66" s="178"/>
      <c r="T66" s="164"/>
    </row>
    <row r="67" spans="18:20">
      <c r="R67" s="164"/>
      <c r="S67" s="178"/>
      <c r="T67" s="164"/>
    </row>
    <row r="68" spans="18:20">
      <c r="R68" s="164"/>
      <c r="S68" s="178"/>
      <c r="T68" s="164"/>
    </row>
    <row r="69" spans="18:20">
      <c r="R69" s="164"/>
      <c r="S69" s="178"/>
      <c r="T69" s="164"/>
    </row>
    <row r="70" spans="18:20">
      <c r="R70" s="164"/>
      <c r="S70" s="178"/>
      <c r="T70" s="164"/>
    </row>
    <row r="72" spans="18:20">
      <c r="S72" s="161" t="str">
        <f xml:space="preserve"> _xlfn.CONCAT(按鍵編碼)</f>
        <v>pbPmtTnlkgKGhZJCSzjcsaAOQoeEyYxX{}M0N[]RriIuU1239&gt;&lt;4578</v>
      </c>
    </row>
    <row r="73" spans="18:20">
      <c r="S73" s="161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27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61" customWidth="1"/>
    <col min="2" max="2" width="4.59765625" style="161" bestFit="1" customWidth="1"/>
    <col min="3" max="3" width="6.5" style="161" customWidth="1"/>
    <col min="4" max="4" width="5.09765625" style="161" customWidth="1"/>
    <col min="5" max="5" width="4.69921875" style="161" customWidth="1" outlineLevel="1"/>
    <col min="6" max="7" width="10.09765625" style="163" customWidth="1" outlineLevel="1"/>
    <col min="8" max="8" width="5.09765625" style="161" customWidth="1"/>
    <col min="9" max="9" width="4.69921875" style="161" customWidth="1"/>
    <col min="10" max="10" width="10.09765625" style="162" customWidth="1"/>
    <col min="11" max="11" width="10.09765625" style="163" customWidth="1"/>
    <col min="12" max="12" width="5.09765625" style="161" customWidth="1"/>
    <col min="13" max="13" width="4.69921875" style="161" customWidth="1"/>
    <col min="14" max="14" width="10.09765625" style="161" customWidth="1"/>
    <col min="15" max="15" width="10.09765625" style="164" customWidth="1"/>
    <col min="16" max="16" width="8.796875" style="161"/>
    <col min="17" max="17" width="4.69921875" style="161" customWidth="1"/>
    <col min="18" max="20" width="9.796875" style="161" customWidth="1"/>
    <col min="21" max="22" width="7.8984375" style="161" customWidth="1"/>
    <col min="23" max="23" width="6.19921875" style="161" customWidth="1"/>
    <col min="24" max="27" width="11.296875" style="161" customWidth="1"/>
    <col min="28" max="28" width="11.69921875" style="161" customWidth="1"/>
    <col min="29" max="29" width="3.8984375" style="161" customWidth="1"/>
    <col min="30" max="30" width="13" style="161" customWidth="1"/>
    <col min="31" max="31" width="5.5" style="161" customWidth="1"/>
    <col min="32" max="45" width="8.796875" style="161"/>
    <col min="46" max="46" width="8.796875" style="294"/>
    <col min="47" max="16384" width="8.796875" style="161"/>
  </cols>
  <sheetData>
    <row r="1" spans="1:47" ht="32.25">
      <c r="A1" s="219" t="s">
        <v>524</v>
      </c>
      <c r="E1" s="219" t="s">
        <v>521</v>
      </c>
      <c r="I1" s="219" t="s">
        <v>523</v>
      </c>
      <c r="M1" s="219" t="s">
        <v>522</v>
      </c>
      <c r="Q1" s="220" t="s">
        <v>602</v>
      </c>
      <c r="W1" s="230" t="s">
        <v>517</v>
      </c>
      <c r="X1" s="140"/>
      <c r="Y1" s="105"/>
      <c r="Z1" s="99"/>
      <c r="AA1" s="99"/>
      <c r="AB1" s="99"/>
    </row>
    <row r="2" spans="1:47" ht="25.5">
      <c r="A2" s="233" t="s">
        <v>604</v>
      </c>
      <c r="F2" s="165" t="s">
        <v>601</v>
      </c>
      <c r="G2" s="166" t="s">
        <v>527</v>
      </c>
      <c r="J2" s="165" t="s">
        <v>527</v>
      </c>
      <c r="K2" s="166" t="s">
        <v>528</v>
      </c>
      <c r="N2" s="165" t="s">
        <v>601</v>
      </c>
      <c r="O2" s="166" t="s">
        <v>529</v>
      </c>
      <c r="R2" s="169" t="s">
        <v>606</v>
      </c>
      <c r="S2" s="169" t="s">
        <v>603</v>
      </c>
      <c r="T2" s="169" t="s">
        <v>292</v>
      </c>
      <c r="W2" s="282" t="s">
        <v>103</v>
      </c>
      <c r="X2" s="283" t="s">
        <v>104</v>
      </c>
      <c r="Y2" s="284" t="s">
        <v>259</v>
      </c>
      <c r="Z2" s="285" t="s">
        <v>229</v>
      </c>
      <c r="AA2" s="285" t="s">
        <v>619</v>
      </c>
      <c r="AB2" s="286" t="s">
        <v>413</v>
      </c>
    </row>
    <row r="3" spans="1:47" ht="32.25">
      <c r="A3" s="161">
        <f xml:space="preserve"> SEARCH("|",$A$2,1)</f>
        <v>7</v>
      </c>
      <c r="E3" s="161" cm="1">
        <f t="array" ref="E3" xml:space="preserve"> ROW() - ROW($2:$2)</f>
        <v>1</v>
      </c>
      <c r="F3" s="172" t="str">
        <f xml:space="preserve"> IFERROR( MID($A$6, $E3, 1), "")</f>
        <v>p</v>
      </c>
      <c r="G3" s="173" t="str">
        <f xml:space="preserve"> IFERROR( MID($A$7, $E3, 1), "")</f>
        <v>1</v>
      </c>
      <c r="I3" s="161">
        <v>1</v>
      </c>
      <c r="J3" s="176" t="str">
        <f xml:space="preserve"> IFERROR( MID($A$15, $E3, 1), "")</f>
        <v>1</v>
      </c>
      <c r="K3" s="176" t="str">
        <f xml:space="preserve"> IFERROR( MID($A$16, $E3, 1), "")</f>
        <v>ㄅ</v>
      </c>
      <c r="M3" s="161">
        <v>1</v>
      </c>
      <c r="N3" s="175" t="str">
        <f xml:space="preserve"> IFERROR( MID($A$25, $M3, 1), "")</f>
        <v>p</v>
      </c>
      <c r="O3" s="175" t="str">
        <f xml:space="preserve"> IFERROR( MID($A$26, $M3, 1), "")</f>
        <v>ㄅ</v>
      </c>
      <c r="Q3" s="161">
        <v>1</v>
      </c>
      <c r="R3" s="164" t="str">
        <f>G3</f>
        <v>1</v>
      </c>
      <c r="S3" s="178" t="str">
        <f>F3</f>
        <v>p</v>
      </c>
      <c r="T3" s="231" t="str">
        <f xml:space="preserve"> IFERROR( INDEX($K$3:$K$44, MATCH(表格1_334[[#This Row],[鍵盤按鍵]], $J$3:$J$44,0)), "")</f>
        <v>ㄅ</v>
      </c>
      <c r="W3" s="287" cm="1">
        <f t="array" ref="W3">ROW() - ROW($2:$2)</f>
        <v>1</v>
      </c>
      <c r="X3" s="142" t="s">
        <v>8</v>
      </c>
      <c r="Y3" s="267" t="s">
        <v>191</v>
      </c>
      <c r="Z3" s="93" t="str">
        <f xml:space="preserve"> IFERROR( INDEX(表格1_334[字典編碼], MATCH($X3, 表格1_334[方音符號], 0)), "")</f>
        <v>p</v>
      </c>
      <c r="AA3" s="93" t="str">
        <f t="shared" ref="AA3:AA44" si="0">Z3</f>
        <v>p</v>
      </c>
      <c r="AB3" s="255" t="str">
        <f xml:space="preserve"> IFERROR( INDEX(表格1_334[鍵盤按鍵], MATCH($X3, 表格1_334[方音符號], 0)), "")</f>
        <v>1</v>
      </c>
      <c r="AD3" s="238" t="s">
        <v>608</v>
      </c>
      <c r="AF3" s="242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61">
        <f xml:space="preserve"> SEARCH("|",$A$2,A3+1)</f>
        <v>50</v>
      </c>
      <c r="E4" s="161" cm="1">
        <f t="array" ref="E4" xml:space="preserve"> ROW() - ROW($2:$2)</f>
        <v>2</v>
      </c>
      <c r="F4" s="181" t="str">
        <f t="shared" ref="F4:F44" si="1" xml:space="preserve"> IFERROR( MID($A$6, $E4, 1), "")</f>
        <v>P</v>
      </c>
      <c r="G4" s="182" t="str">
        <f t="shared" ref="G4:G44" si="2" xml:space="preserve"> IFERROR( MID($A$7, $E4, 1), "")</f>
        <v>q</v>
      </c>
      <c r="I4" s="161">
        <v>2</v>
      </c>
      <c r="J4" s="176" t="str">
        <f t="shared" ref="J4:J44" si="3" xml:space="preserve"> IFERROR( MID($A$15, $E4, 1), "")</f>
        <v>q</v>
      </c>
      <c r="K4" s="176" t="str">
        <f t="shared" ref="K4:K44" si="4" xml:space="preserve"> IFERROR( MID($A$16, $E4, 1), "")</f>
        <v>ㄆ</v>
      </c>
      <c r="M4" s="161">
        <v>2</v>
      </c>
      <c r="N4" s="175" t="str">
        <f t="shared" ref="N4:N28" si="5" xml:space="preserve"> IFERROR( MID($A$25, $M4, 1), "")</f>
        <v>P</v>
      </c>
      <c r="O4" s="175" t="str">
        <f t="shared" ref="O4:O28" si="6" xml:space="preserve"> IFERROR( MID($A$26, $M4, 1), "")</f>
        <v>ㄆ</v>
      </c>
      <c r="Q4" s="161">
        <v>2</v>
      </c>
      <c r="R4" s="164" t="str">
        <f t="shared" ref="R4:R44" si="7">G4</f>
        <v>q</v>
      </c>
      <c r="S4" s="178" t="str">
        <f t="shared" ref="S4:S44" si="8">F4</f>
        <v>P</v>
      </c>
      <c r="T4" s="231" t="str">
        <f xml:space="preserve"> IFERROR( INDEX($K$3:$K$44, MATCH(表格1_334[[#This Row],[鍵盤按鍵]], $J$3:$J$44,0)), "")</f>
        <v>ㄆ</v>
      </c>
      <c r="W4" s="288" cm="1">
        <f t="array" ref="W4">ROW() - ROW($2:$2)</f>
        <v>2</v>
      </c>
      <c r="X4" s="141" t="s">
        <v>37</v>
      </c>
      <c r="Y4" s="153" t="s">
        <v>125</v>
      </c>
      <c r="Z4" s="90" t="str">
        <f xml:space="preserve"> IFERROR( INDEX(表格1_334[字典編碼], MATCH($X4, 表格1_334[方音符號], 0)), "")</f>
        <v>P</v>
      </c>
      <c r="AA4" s="90" t="str">
        <f t="shared" si="0"/>
        <v>P</v>
      </c>
      <c r="AB4" s="257" t="str">
        <f xml:space="preserve"> IFERROR( INDEX(表格1_334[鍵盤按鍵], MATCH($X4, 表格1_334[方音符號], 0)), "")</f>
        <v>q</v>
      </c>
      <c r="AD4" s="221" t="s">
        <v>603</v>
      </c>
      <c r="AE4" s="219">
        <f xml:space="preserve"> LEN(AF4)</f>
        <v>42</v>
      </c>
      <c r="AF4" s="241" t="str">
        <f xml:space="preserve"> _xlfn.CONCAT(AA$3:AA$44)</f>
        <v>pPbtTnkKgcCzshiuaeoOIUGDBNmdqjJSQLMY123570</v>
      </c>
      <c r="AS4" s="249" t="s">
        <v>613</v>
      </c>
      <c r="AT4" s="295" t="s">
        <v>595</v>
      </c>
      <c r="AU4" s="170">
        <f xml:space="preserve"> FIND(AT4, AF4)</f>
        <v>26</v>
      </c>
    </row>
    <row r="5" spans="1:47" ht="32.25">
      <c r="A5" s="161">
        <f xml:space="preserve"> SEARCH("|",$A$2,A4+1)</f>
        <v>93</v>
      </c>
      <c r="E5" s="161" cm="1">
        <f t="array" ref="E5" xml:space="preserve"> ROW() - ROW($2:$2)</f>
        <v>3</v>
      </c>
      <c r="F5" s="181" t="str">
        <f t="shared" si="1"/>
        <v>m</v>
      </c>
      <c r="G5" s="182" t="str">
        <f t="shared" si="2"/>
        <v>a</v>
      </c>
      <c r="I5" s="161">
        <v>3</v>
      </c>
      <c r="J5" s="176" t="str">
        <f t="shared" si="3"/>
        <v>a</v>
      </c>
      <c r="K5" s="176" t="str">
        <f t="shared" si="4"/>
        <v>ㄇ</v>
      </c>
      <c r="M5" s="161">
        <v>3</v>
      </c>
      <c r="N5" s="175" t="str">
        <f t="shared" si="5"/>
        <v>b</v>
      </c>
      <c r="O5" s="175" t="str">
        <f t="shared" si="6"/>
        <v>ㆠ</v>
      </c>
      <c r="Q5" s="161">
        <v>3</v>
      </c>
      <c r="R5" s="164" t="str">
        <f t="shared" si="7"/>
        <v>a</v>
      </c>
      <c r="S5" s="178" t="str">
        <f t="shared" si="8"/>
        <v>m</v>
      </c>
      <c r="T5" s="231" t="str">
        <f xml:space="preserve"> IFERROR( INDEX($K$3:$K$44, MATCH(表格1_334[[#This Row],[鍵盤按鍵]], $J$3:$J$44,0)), "")</f>
        <v>ㄇ</v>
      </c>
      <c r="W5" s="289" cm="1">
        <f t="array" ref="W5">ROW() - ROW($2:$2)</f>
        <v>3</v>
      </c>
      <c r="X5" s="143" t="s">
        <v>90</v>
      </c>
      <c r="Y5" s="268" t="s">
        <v>162</v>
      </c>
      <c r="Z5" s="95" t="str">
        <f xml:space="preserve"> IFERROR( INDEX(表格1_334[字典編碼], MATCH($X5, 表格1_334[方音符號], 0)), "")</f>
        <v>b</v>
      </c>
      <c r="AA5" s="95" t="str">
        <f t="shared" si="0"/>
        <v>b</v>
      </c>
      <c r="AB5" s="259" t="str">
        <f xml:space="preserve"> IFERROR( INDEX(表格1_334[鍵盤按鍵], MATCH($X5, 表格1_334[方音符號], 0)), "")</f>
        <v>z</v>
      </c>
      <c r="AD5" s="236" t="s">
        <v>606</v>
      </c>
      <c r="AE5" s="219">
        <f xml:space="preserve"> LEN(AF5)</f>
        <v>42</v>
      </c>
      <c r="AF5" s="280" t="s">
        <v>622</v>
      </c>
      <c r="AG5" s="281"/>
      <c r="AH5" s="281"/>
      <c r="AI5" s="281"/>
      <c r="AJ5" s="281"/>
      <c r="AK5" s="281"/>
      <c r="AL5" s="281"/>
      <c r="AM5" s="281"/>
      <c r="AO5" s="239" t="str">
        <f xml:space="preserve"> MID("/", AE4, 1)</f>
        <v/>
      </c>
      <c r="AT5" s="296" t="str">
        <f xml:space="preserve"> MID(AF5, AU4, 1)</f>
        <v>-</v>
      </c>
      <c r="AU5" s="170"/>
    </row>
    <row r="6" spans="1:47" ht="32.25">
      <c r="A6" s="216" t="str">
        <f xml:space="preserve"> MID($A$2,A3+1, A4-A3-1)</f>
        <v>pPmbtTndkKhjJSgqzcCsiuBaoøMIeUYLDQGN123570</v>
      </c>
      <c r="B6" s="217">
        <f xml:space="preserve"> LEN(A6)</f>
        <v>42</v>
      </c>
      <c r="E6" s="161" cm="1">
        <f t="array" ref="E6" xml:space="preserve"> ROW() - ROW($2:$2)</f>
        <v>4</v>
      </c>
      <c r="F6" s="186" t="str">
        <f t="shared" si="1"/>
        <v>b</v>
      </c>
      <c r="G6" s="187" t="str">
        <f t="shared" si="2"/>
        <v>z</v>
      </c>
      <c r="I6" s="161">
        <v>4</v>
      </c>
      <c r="J6" s="176" t="str">
        <f t="shared" si="3"/>
        <v>z</v>
      </c>
      <c r="K6" s="176" t="str">
        <f t="shared" si="4"/>
        <v>ㆠ</v>
      </c>
      <c r="M6" s="161">
        <v>4</v>
      </c>
      <c r="N6" s="175" t="str">
        <f t="shared" si="5"/>
        <v>t</v>
      </c>
      <c r="O6" s="175" t="str">
        <f t="shared" si="6"/>
        <v>ㄉ</v>
      </c>
      <c r="Q6" s="161">
        <v>4</v>
      </c>
      <c r="R6" s="164" t="str">
        <f t="shared" si="7"/>
        <v>z</v>
      </c>
      <c r="S6" s="178" t="str">
        <f t="shared" si="8"/>
        <v>b</v>
      </c>
      <c r="T6" s="231" t="str">
        <f xml:space="preserve"> IFERROR( INDEX($K$3:$K$44, MATCH(表格1_334[[#This Row],[鍵盤按鍵]], $J$3:$J$44,0)), "")</f>
        <v>ㆠ</v>
      </c>
      <c r="W6" s="287" cm="1">
        <f t="array" ref="W6">ROW() - ROW($2:$2)</f>
        <v>4</v>
      </c>
      <c r="X6" s="142" t="s">
        <v>10</v>
      </c>
      <c r="Y6" s="267" t="s">
        <v>11</v>
      </c>
      <c r="Z6" s="93" t="str">
        <f xml:space="preserve"> IFERROR( INDEX(表格1_334[字典編碼], MATCH($X6, 表格1_334[方音符號], 0)), "")</f>
        <v>t</v>
      </c>
      <c r="AA6" s="93" t="str">
        <f t="shared" si="0"/>
        <v>t</v>
      </c>
      <c r="AB6" s="255" t="str">
        <f xml:space="preserve"> IFERROR( INDEX(表格1_334[鍵盤按鍵], MATCH($X6, 表格1_334[方音符號], 0)), "")</f>
        <v>2</v>
      </c>
      <c r="AD6" s="279"/>
      <c r="AE6" s="219"/>
      <c r="AF6" s="241" t="str">
        <f>AF5</f>
        <v>1qz2wsedtyhbncuj8oki9l/pm-axgrfv;0,. 43657</v>
      </c>
      <c r="AO6" s="239"/>
    </row>
    <row r="7" spans="1:47" ht="32.25">
      <c r="A7" s="216" t="str">
        <f xml:space="preserve"> MID($A$2,A4+1, A5-A4-1)</f>
        <v>1qaz2wsxedcrfvtgbyhnujm8ik,9ol.0p;/- 43657</v>
      </c>
      <c r="B7" s="217">
        <f xml:space="preserve"> LEN(A7)</f>
        <v>42</v>
      </c>
      <c r="E7" s="161" cm="1">
        <f t="array" ref="E7" xml:space="preserve"> ROW() - ROW($2:$2)</f>
        <v>5</v>
      </c>
      <c r="F7" s="181" t="str">
        <f t="shared" si="1"/>
        <v>t</v>
      </c>
      <c r="G7" s="182" t="str">
        <f t="shared" si="2"/>
        <v>2</v>
      </c>
      <c r="I7" s="161">
        <v>5</v>
      </c>
      <c r="J7" s="176" t="str">
        <f t="shared" si="3"/>
        <v>2</v>
      </c>
      <c r="K7" s="176" t="str">
        <f t="shared" si="4"/>
        <v>ㄉ</v>
      </c>
      <c r="M7" s="161">
        <v>5</v>
      </c>
      <c r="N7" s="175" t="str">
        <f t="shared" si="5"/>
        <v>T</v>
      </c>
      <c r="O7" s="175" t="str">
        <f t="shared" si="6"/>
        <v>ㄊ</v>
      </c>
      <c r="Q7" s="161">
        <v>5</v>
      </c>
      <c r="R7" s="164" t="str">
        <f t="shared" si="7"/>
        <v>2</v>
      </c>
      <c r="S7" s="178" t="str">
        <f t="shared" si="8"/>
        <v>t</v>
      </c>
      <c r="T7" s="231" t="str">
        <f xml:space="preserve"> IFERROR( INDEX($K$3:$K$44, MATCH(表格1_334[[#This Row],[鍵盤按鍵]], $J$3:$J$44,0)), "")</f>
        <v>ㄉ</v>
      </c>
      <c r="W7" s="288" cm="1">
        <f t="array" ref="W7">ROW() - ROW($2:$2)</f>
        <v>5</v>
      </c>
      <c r="X7" s="141" t="s">
        <v>39</v>
      </c>
      <c r="Y7" s="153" t="s">
        <v>40</v>
      </c>
      <c r="Z7" s="90" t="str">
        <f xml:space="preserve"> IFERROR( INDEX(表格1_334[字典編碼], MATCH($X7, 表格1_334[方音符號], 0)), "")</f>
        <v>T</v>
      </c>
      <c r="AA7" s="90" t="str">
        <f t="shared" si="0"/>
        <v>T</v>
      </c>
      <c r="AB7" s="257" t="str">
        <f xml:space="preserve"> IFERROR( INDEX(表格1_334[鍵盤按鍵], MATCH($X7, 表格1_334[方音符號], 0)), "")</f>
        <v>w</v>
      </c>
      <c r="AF7" s="239"/>
    </row>
    <row r="8" spans="1:47" ht="32.25">
      <c r="E8" s="161" cm="1">
        <f t="array" ref="E8" xml:space="preserve"> ROW() - ROW($2:$2)</f>
        <v>6</v>
      </c>
      <c r="F8" s="181" t="str">
        <f t="shared" si="1"/>
        <v>T</v>
      </c>
      <c r="G8" s="182" t="str">
        <f t="shared" si="2"/>
        <v>w</v>
      </c>
      <c r="I8" s="161">
        <v>6</v>
      </c>
      <c r="J8" s="176" t="str">
        <f t="shared" si="3"/>
        <v>w</v>
      </c>
      <c r="K8" s="176" t="str">
        <f t="shared" si="4"/>
        <v>ㄊ</v>
      </c>
      <c r="M8" s="161">
        <v>6</v>
      </c>
      <c r="N8" s="175" t="str">
        <f t="shared" si="5"/>
        <v>d</v>
      </c>
      <c r="O8" s="175" t="str">
        <f t="shared" si="6"/>
        <v>ㄌ</v>
      </c>
      <c r="Q8" s="161">
        <v>6</v>
      </c>
      <c r="R8" s="164" t="str">
        <f t="shared" si="7"/>
        <v>w</v>
      </c>
      <c r="S8" s="178" t="str">
        <f t="shared" si="8"/>
        <v>T</v>
      </c>
      <c r="T8" s="231" t="str">
        <f xml:space="preserve"> IFERROR( INDEX($K$3:$K$44, MATCH(表格1_334[[#This Row],[鍵盤按鍵]], $J$3:$J$44,0)), "")</f>
        <v>ㄊ</v>
      </c>
      <c r="W8" s="289" cm="1">
        <f t="array" ref="W8">ROW() - ROW($2:$2)</f>
        <v>6</v>
      </c>
      <c r="X8" s="143" t="s">
        <v>67</v>
      </c>
      <c r="Y8" s="268" t="s">
        <v>68</v>
      </c>
      <c r="Z8" s="95" t="str">
        <f xml:space="preserve"> IFERROR( INDEX(表格1_334[字典編碼], MATCH($X8, 表格1_334[方音符號], 0)), "")</f>
        <v>n</v>
      </c>
      <c r="AA8" s="95" t="str">
        <f t="shared" si="0"/>
        <v>n</v>
      </c>
      <c r="AB8" s="259" t="str">
        <f xml:space="preserve"> IFERROR( INDEX(表格1_334[鍵盤按鍵], MATCH($X8, 表格1_334[方音符號], 0)), "")</f>
        <v>s</v>
      </c>
      <c r="AD8" s="238" t="s">
        <v>609</v>
      </c>
      <c r="AF8" s="242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61" cm="1">
        <f t="array" ref="E9" xml:space="preserve"> ROW() - ROW($2:$2)</f>
        <v>7</v>
      </c>
      <c r="F9" s="181" t="str">
        <f t="shared" si="1"/>
        <v>n</v>
      </c>
      <c r="G9" s="182" t="str">
        <f t="shared" si="2"/>
        <v>s</v>
      </c>
      <c r="I9" s="161">
        <v>7</v>
      </c>
      <c r="J9" s="176" t="str">
        <f t="shared" si="3"/>
        <v>s</v>
      </c>
      <c r="K9" s="176" t="str">
        <f t="shared" si="4"/>
        <v>ㄋ</v>
      </c>
      <c r="M9" s="161">
        <v>7</v>
      </c>
      <c r="N9" s="175" t="str">
        <f t="shared" si="5"/>
        <v>k</v>
      </c>
      <c r="O9" s="175" t="str">
        <f t="shared" si="6"/>
        <v>ㄍ</v>
      </c>
      <c r="Q9" s="161">
        <v>7</v>
      </c>
      <c r="R9" s="164" t="str">
        <f t="shared" si="7"/>
        <v>s</v>
      </c>
      <c r="S9" s="178" t="str">
        <f t="shared" si="8"/>
        <v>n</v>
      </c>
      <c r="T9" s="231" t="str">
        <f xml:space="preserve"> IFERROR( INDEX($K$3:$K$44, MATCH(表格1_334[[#This Row],[鍵盤按鍵]], $J$3:$J$44,0)), "")</f>
        <v>ㄋ</v>
      </c>
      <c r="W9" s="287" cm="1">
        <f t="array" ref="W9">ROW() - ROW($2:$2)</f>
        <v>7</v>
      </c>
      <c r="X9" s="142" t="s">
        <v>41</v>
      </c>
      <c r="Y9" s="267" t="s">
        <v>42</v>
      </c>
      <c r="Z9" s="93" t="str">
        <f xml:space="preserve"> IFERROR( INDEX(表格1_334[字典編碼], MATCH($X9, 表格1_334[方音符號], 0)), "")</f>
        <v>k</v>
      </c>
      <c r="AA9" s="93" t="str">
        <f t="shared" si="0"/>
        <v>k</v>
      </c>
      <c r="AB9" s="255" t="str">
        <f xml:space="preserve"> IFERROR( INDEX(表格1_334[鍵盤按鍵], MATCH($X9, 表格1_334[方音符號], 0)), "")</f>
        <v>e</v>
      </c>
      <c r="AD9" s="236" t="s">
        <v>606</v>
      </c>
      <c r="AE9" s="219">
        <f xml:space="preserve"> LEN(AF9)</f>
        <v>41</v>
      </c>
      <c r="AF9" s="241" t="str">
        <f xml:space="preserve"> _xlfn.CONCAT(AB$3:AB$38,AB$40:AB$44)</f>
        <v>1qz2wsedtyhbncuj8oki9l/pm-axgrfv;0,.43657</v>
      </c>
      <c r="AS9" s="249" t="s">
        <v>613</v>
      </c>
      <c r="AT9" s="297">
        <f ca="1">AT9</f>
        <v>0</v>
      </c>
      <c r="AU9" s="170">
        <f ca="1" xml:space="preserve"> FIND(AT9, AF9)</f>
        <v>34</v>
      </c>
    </row>
    <row r="10" spans="1:47" ht="32.25">
      <c r="A10" s="219" t="s">
        <v>523</v>
      </c>
      <c r="E10" s="161" cm="1">
        <f t="array" ref="E10" xml:space="preserve"> ROW() - ROW($2:$2)</f>
        <v>8</v>
      </c>
      <c r="F10" s="191" t="str">
        <f t="shared" si="1"/>
        <v>d</v>
      </c>
      <c r="G10" s="192" t="str">
        <f t="shared" si="2"/>
        <v>x</v>
      </c>
      <c r="I10" s="161">
        <v>8</v>
      </c>
      <c r="J10" s="176" t="str">
        <f t="shared" si="3"/>
        <v>x</v>
      </c>
      <c r="K10" s="176" t="str">
        <f t="shared" si="4"/>
        <v>ㄌ</v>
      </c>
      <c r="M10" s="161">
        <v>8</v>
      </c>
      <c r="N10" s="175" t="str">
        <f t="shared" si="5"/>
        <v>K</v>
      </c>
      <c r="O10" s="175" t="str">
        <f t="shared" si="6"/>
        <v>ㄎ</v>
      </c>
      <c r="Q10" s="161">
        <v>8</v>
      </c>
      <c r="R10" s="164" t="str">
        <f t="shared" si="7"/>
        <v>x</v>
      </c>
      <c r="S10" s="178" t="str">
        <f t="shared" si="8"/>
        <v>d</v>
      </c>
      <c r="T10" s="231" t="str">
        <f xml:space="preserve"> IFERROR( INDEX($K$3:$K$44, MATCH(表格1_334[[#This Row],[鍵盤按鍵]], $J$3:$J$44,0)), "")</f>
        <v>ㄌ</v>
      </c>
      <c r="W10" s="288" cm="1">
        <f t="array" ref="W10">ROW() - ROW($2:$2)</f>
        <v>8</v>
      </c>
      <c r="X10" s="141" t="s">
        <v>69</v>
      </c>
      <c r="Y10" s="153" t="s">
        <v>127</v>
      </c>
      <c r="Z10" s="90" t="str">
        <f xml:space="preserve"> IFERROR( INDEX(表格1_334[字典編碼], MATCH($X10, 表格1_334[方音符號], 0)), "")</f>
        <v>K</v>
      </c>
      <c r="AA10" s="90" t="str">
        <f t="shared" si="0"/>
        <v>K</v>
      </c>
      <c r="AB10" s="257" t="str">
        <f xml:space="preserve"> IFERROR( INDEX(表格1_334[鍵盤按鍵], MATCH($X10, 表格1_334[方音符號], 0)), "")</f>
        <v>d</v>
      </c>
      <c r="AD10" s="222" t="s">
        <v>292</v>
      </c>
      <c r="AE10" s="219">
        <f xml:space="preserve"> LEN(AF10)</f>
        <v>41</v>
      </c>
      <c r="AF10" s="241" t="str">
        <f xml:space="preserve"> _xlfn.CONCAT(X$3:X$38,X$40:X$44)</f>
        <v>ㄅㄆㆠㄉㄊㄋㄍㄎㆣㄗㄘㆡㄙㄏㄧㄨㄚㆤㄜㆦㄞㄠㆭㄣㆬ鼻ㄇㄌㄫㄐㄑㄒㄤㄢㆰㆲˋ˪ˊ˫˙</v>
      </c>
      <c r="AT10" s="296" t="str">
        <f ca="1" xml:space="preserve"> MID(AF10, AU9, 1)</f>
        <v>ㄢ</v>
      </c>
      <c r="AU10" s="170"/>
    </row>
    <row r="11" spans="1:47" ht="32.25">
      <c r="A11" s="233" t="s">
        <v>605</v>
      </c>
      <c r="E11" s="161" cm="1">
        <f t="array" ref="E11" xml:space="preserve"> ROW() - ROW($2:$2)</f>
        <v>9</v>
      </c>
      <c r="F11" s="172" t="str">
        <f t="shared" si="1"/>
        <v>k</v>
      </c>
      <c r="G11" s="173" t="str">
        <f t="shared" si="2"/>
        <v>e</v>
      </c>
      <c r="I11" s="161">
        <v>9</v>
      </c>
      <c r="J11" s="176" t="str">
        <f t="shared" si="3"/>
        <v>e</v>
      </c>
      <c r="K11" s="176" t="str">
        <f t="shared" si="4"/>
        <v>ㄍ</v>
      </c>
      <c r="M11" s="161">
        <v>9</v>
      </c>
      <c r="N11" s="175" t="str">
        <f t="shared" si="5"/>
        <v>g</v>
      </c>
      <c r="O11" s="175" t="str">
        <f t="shared" si="6"/>
        <v>ㆣ</v>
      </c>
      <c r="Q11" s="161">
        <v>9</v>
      </c>
      <c r="R11" s="164" t="str">
        <f t="shared" si="7"/>
        <v>e</v>
      </c>
      <c r="S11" s="178" t="str">
        <f t="shared" si="8"/>
        <v>k</v>
      </c>
      <c r="T11" s="231" t="str">
        <f xml:space="preserve"> IFERROR( INDEX($K$3:$K$44, MATCH(表格1_334[[#This Row],[鍵盤按鍵]], $J$3:$J$44,0)), "")</f>
        <v>ㄍ</v>
      </c>
      <c r="W11" s="289" cm="1">
        <f t="array" ref="W11">ROW() - ROW($2:$2)</f>
        <v>9</v>
      </c>
      <c r="X11" s="143" t="s">
        <v>44</v>
      </c>
      <c r="Y11" s="268" t="s">
        <v>126</v>
      </c>
      <c r="Z11" s="95" t="str">
        <f xml:space="preserve"> IFERROR( INDEX(表格1_334[字典編碼], MATCH($X11, 表格1_334[方音符號], 0)), "")</f>
        <v>g</v>
      </c>
      <c r="AA11" s="95" t="str">
        <f t="shared" si="0"/>
        <v>g</v>
      </c>
      <c r="AB11" s="259" t="str">
        <f xml:space="preserve"> IFERROR( INDEX(表格1_334[鍵盤按鍵], MATCH($X11, 表格1_334[方音符號], 0)), "")</f>
        <v>t</v>
      </c>
      <c r="AG11" s="240"/>
    </row>
    <row r="12" spans="1:47" ht="32.25">
      <c r="A12" s="161">
        <f xml:space="preserve"> SEARCH("|",$A$11,1)</f>
        <v>7</v>
      </c>
      <c r="E12" s="161" cm="1">
        <f t="array" ref="E12" xml:space="preserve"> ROW() - ROW($2:$2)</f>
        <v>10</v>
      </c>
      <c r="F12" s="181" t="str">
        <f t="shared" si="1"/>
        <v>K</v>
      </c>
      <c r="G12" s="182" t="str">
        <f t="shared" si="2"/>
        <v>d</v>
      </c>
      <c r="I12" s="161">
        <v>10</v>
      </c>
      <c r="J12" s="176" t="str">
        <f t="shared" si="3"/>
        <v>d</v>
      </c>
      <c r="K12" s="176" t="str">
        <f t="shared" si="4"/>
        <v>ㄎ</v>
      </c>
      <c r="M12" s="161">
        <v>10</v>
      </c>
      <c r="N12" s="175" t="str">
        <f t="shared" si="5"/>
        <v>c</v>
      </c>
      <c r="O12" s="175" t="str">
        <f t="shared" si="6"/>
        <v>ㄗ</v>
      </c>
      <c r="Q12" s="161">
        <v>10</v>
      </c>
      <c r="R12" s="164" t="str">
        <f t="shared" si="7"/>
        <v>d</v>
      </c>
      <c r="S12" s="178" t="str">
        <f t="shared" si="8"/>
        <v>K</v>
      </c>
      <c r="T12" s="231" t="str">
        <f xml:space="preserve"> IFERROR( INDEX($K$3:$K$44, MATCH(表格1_334[[#This Row],[鍵盤按鍵]], $J$3:$J$44,0)), "")</f>
        <v>ㄎ</v>
      </c>
      <c r="W12" s="287" cm="1">
        <f t="array" ref="W12">ROW() - ROW($2:$2)</f>
        <v>10</v>
      </c>
      <c r="X12" s="142" t="s">
        <v>46</v>
      </c>
      <c r="Y12" s="267" t="s">
        <v>47</v>
      </c>
      <c r="Z12" s="93" t="str">
        <f xml:space="preserve"> IFERROR( INDEX(表格1_334[字典編碼], MATCH($X12, 表格1_334[方音符號], 0)), "")</f>
        <v>c</v>
      </c>
      <c r="AA12" s="93" t="str">
        <f t="shared" si="0"/>
        <v>c</v>
      </c>
      <c r="AB12" s="255" t="str">
        <f xml:space="preserve"> IFERROR( INDEX(表格1_334[鍵盤按鍵], MATCH($X12, 表格1_334[方音符號], 0)), "")</f>
        <v>y</v>
      </c>
      <c r="AD12" s="238" t="s">
        <v>610</v>
      </c>
      <c r="AF12" s="242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61">
        <f xml:space="preserve"> SEARCH("|",$A$11,A12+1)</f>
        <v>49</v>
      </c>
      <c r="E13" s="161" cm="1">
        <f t="array" ref="E13" xml:space="preserve"> ROW() - ROW($2:$2)</f>
        <v>11</v>
      </c>
      <c r="F13" s="191" t="str">
        <f t="shared" si="1"/>
        <v>h</v>
      </c>
      <c r="G13" s="192" t="str">
        <f t="shared" si="2"/>
        <v>c</v>
      </c>
      <c r="I13" s="161">
        <v>11</v>
      </c>
      <c r="J13" s="176" t="str">
        <f t="shared" si="3"/>
        <v>c</v>
      </c>
      <c r="K13" s="176" t="str">
        <f t="shared" si="4"/>
        <v>ㄏ</v>
      </c>
      <c r="M13" s="161">
        <v>11</v>
      </c>
      <c r="N13" s="175" t="str">
        <f t="shared" si="5"/>
        <v>C</v>
      </c>
      <c r="O13" s="175" t="str">
        <f t="shared" si="6"/>
        <v>ㄘ</v>
      </c>
      <c r="Q13" s="161">
        <v>11</v>
      </c>
      <c r="R13" s="164" t="str">
        <f t="shared" si="7"/>
        <v>c</v>
      </c>
      <c r="S13" s="178" t="str">
        <f t="shared" si="8"/>
        <v>h</v>
      </c>
      <c r="T13" s="231" t="str">
        <f xml:space="preserve"> IFERROR( INDEX($K$3:$K$44, MATCH(表格1_334[[#This Row],[鍵盤按鍵]], $J$3:$J$44,0)), "")</f>
        <v>ㄏ</v>
      </c>
      <c r="W13" s="288" cm="1">
        <f t="array" ref="W13">ROW() - ROW($2:$2)</f>
        <v>11</v>
      </c>
      <c r="X13" s="141" t="s">
        <v>74</v>
      </c>
      <c r="Y13" s="153" t="s">
        <v>135</v>
      </c>
      <c r="Z13" s="90" t="str">
        <f xml:space="preserve"> IFERROR( INDEX(表格1_334[字典編碼], MATCH($X13, 表格1_334[方音符號], 0)), "")</f>
        <v>C</v>
      </c>
      <c r="AA13" s="90" t="str">
        <f t="shared" si="0"/>
        <v>C</v>
      </c>
      <c r="AB13" s="257" t="str">
        <f xml:space="preserve"> IFERROR( INDEX(表格1_334[鍵盤按鍵], MATCH($X13, 表格1_334[方音符號], 0)), "")</f>
        <v>h</v>
      </c>
      <c r="AD13" s="221" t="s">
        <v>603</v>
      </c>
      <c r="AE13" s="219">
        <f xml:space="preserve"> LEN(AF13)</f>
        <v>26</v>
      </c>
      <c r="AF13" s="241" t="str">
        <f xml:space="preserve"> _xlfn.CONCAT(AA3:AA28)</f>
        <v>pPbtTnkKgcCzshiuaeoOIUGDBN</v>
      </c>
      <c r="AS13" s="249" t="s">
        <v>613</v>
      </c>
      <c r="AT13" s="297" t="str">
        <f>AT4</f>
        <v>N</v>
      </c>
      <c r="AU13" s="170">
        <f xml:space="preserve"> FIND(AT13, AF13)</f>
        <v>26</v>
      </c>
    </row>
    <row r="14" spans="1:47" ht="32.25">
      <c r="A14" s="161">
        <f xml:space="preserve"> SEARCH("|",$A$11,A13+1)</f>
        <v>91</v>
      </c>
      <c r="E14" s="161" cm="1">
        <f t="array" ref="E14" xml:space="preserve"> ROW() - ROW($2:$2)</f>
        <v>12</v>
      </c>
      <c r="F14" s="172" t="str">
        <f t="shared" si="1"/>
        <v>j</v>
      </c>
      <c r="G14" s="173" t="str">
        <f t="shared" si="2"/>
        <v>r</v>
      </c>
      <c r="I14" s="161">
        <v>12</v>
      </c>
      <c r="J14" s="176" t="str">
        <f t="shared" si="3"/>
        <v>r</v>
      </c>
      <c r="K14" s="176" t="str">
        <f t="shared" si="4"/>
        <v>ㄐ</v>
      </c>
      <c r="M14" s="161">
        <v>12</v>
      </c>
      <c r="N14" s="175" t="str">
        <f t="shared" si="5"/>
        <v>z</v>
      </c>
      <c r="O14" s="175" t="str">
        <f t="shared" si="6"/>
        <v>ㆡ</v>
      </c>
      <c r="Q14" s="161">
        <v>12</v>
      </c>
      <c r="R14" s="164" t="str">
        <f t="shared" si="7"/>
        <v>r</v>
      </c>
      <c r="S14" s="178" t="str">
        <f t="shared" si="8"/>
        <v>j</v>
      </c>
      <c r="T14" s="231" t="str">
        <f xml:space="preserve"> IFERROR( INDEX($K$3:$K$44, MATCH(表格1_334[[#This Row],[鍵盤按鍵]], $J$3:$J$44,0)), "")</f>
        <v>ㄐ</v>
      </c>
      <c r="W14" s="288" cm="1">
        <f t="array" ref="W14">ROW() - ROW($2:$2)</f>
        <v>12</v>
      </c>
      <c r="X14" s="141" t="s">
        <v>106</v>
      </c>
      <c r="Y14" s="153" t="s">
        <v>134</v>
      </c>
      <c r="Z14" s="90" t="str">
        <f xml:space="preserve"> IFERROR( INDEX(表格1_334[字典編碼], MATCH($X14, 表格1_334[方音符號], 0)), "")</f>
        <v>z</v>
      </c>
      <c r="AA14" s="90" t="str">
        <f t="shared" si="0"/>
        <v>z</v>
      </c>
      <c r="AB14" s="257" t="str">
        <f xml:space="preserve"> IFERROR( INDEX(表格1_334[鍵盤按鍵], MATCH($X14, 表格1_334[方音符號], 0)), "")</f>
        <v>b</v>
      </c>
      <c r="AD14" s="222" t="s">
        <v>292</v>
      </c>
      <c r="AE14" s="219">
        <f xml:space="preserve"> LEN(AF14)</f>
        <v>26</v>
      </c>
      <c r="AF14" s="241" t="str">
        <f xml:space="preserve"> _xlfn.CONCAT(X3:X28)</f>
        <v>ㄅㄆㆠㄉㄊㄋㄍㄎㆣㄗㄘㆡㄙㄏㄧㄨㄚㆤㄜㆦㄞㄠㆭㄣㆬ鼻</v>
      </c>
      <c r="AT14" s="296" t="str">
        <f xml:space="preserve"> MID(AF14, AU13, 1)</f>
        <v>鼻</v>
      </c>
      <c r="AU14" s="170"/>
    </row>
    <row r="15" spans="1:47" ht="32.25">
      <c r="A15" s="216" t="str">
        <f xml:space="preserve"> MID($A$11,A12+1, A13-A12-1)</f>
        <v>1qaz2wsxedcrfvtgbyhnujm8ik,9ol.0p;/-43657</v>
      </c>
      <c r="B15" s="217">
        <f xml:space="preserve"> LEN(A15)</f>
        <v>41</v>
      </c>
      <c r="E15" s="161" cm="1">
        <f t="array" ref="E15" xml:space="preserve"> ROW() - ROW($2:$2)</f>
        <v>13</v>
      </c>
      <c r="F15" s="181" t="str">
        <f t="shared" si="1"/>
        <v>J</v>
      </c>
      <c r="G15" s="182" t="str">
        <f t="shared" si="2"/>
        <v>f</v>
      </c>
      <c r="I15" s="161">
        <v>13</v>
      </c>
      <c r="J15" s="176" t="str">
        <f t="shared" si="3"/>
        <v>f</v>
      </c>
      <c r="K15" s="176" t="str">
        <f t="shared" si="4"/>
        <v>ㄑ</v>
      </c>
      <c r="M15" s="161">
        <v>13</v>
      </c>
      <c r="N15" s="175" t="str">
        <f t="shared" si="5"/>
        <v>s</v>
      </c>
      <c r="O15" s="175" t="str">
        <f t="shared" si="6"/>
        <v>ㄙ</v>
      </c>
      <c r="Q15" s="161">
        <v>13</v>
      </c>
      <c r="R15" s="164" t="str">
        <f t="shared" si="7"/>
        <v>f</v>
      </c>
      <c r="S15" s="178" t="str">
        <f t="shared" si="8"/>
        <v>J</v>
      </c>
      <c r="T15" s="231" t="str">
        <f xml:space="preserve"> IFERROR( INDEX($K$3:$K$44, MATCH(表格1_334[[#This Row],[鍵盤按鍵]], $J$3:$J$44,0)), "")</f>
        <v>ㄑ</v>
      </c>
      <c r="W15" s="289" cm="1">
        <f t="array" ref="W15">ROW() - ROW($2:$2)</f>
        <v>13</v>
      </c>
      <c r="X15" s="143" t="s">
        <v>98</v>
      </c>
      <c r="Y15" s="268" t="s">
        <v>136</v>
      </c>
      <c r="Z15" s="95" t="str">
        <f xml:space="preserve"> IFERROR( INDEX(表格1_334[字典編碼], MATCH($X15, 表格1_334[方音符號], 0)), "")</f>
        <v>s</v>
      </c>
      <c r="AA15" s="95" t="str">
        <f t="shared" si="0"/>
        <v>s</v>
      </c>
      <c r="AB15" s="259" t="str">
        <f xml:space="preserve"> IFERROR( INDEX(表格1_334[鍵盤按鍵], MATCH($X15, 表格1_334[方音符號], 0)), "")</f>
        <v>n</v>
      </c>
    </row>
    <row r="16" spans="1:47" ht="32.25">
      <c r="A16" s="216" t="str">
        <f xml:space="preserve"> MID($A$11,A13+1, A14-A13-1)</f>
        <v>ㄅㄆㄇㆠㄉㄊㄋㄌㄍㄎㄏㄐㄑㄒㆣㄫㆡㄗㄘㄙㄧㄨㆬㄚㆦㄜㆰㄞㆤㄠㆲㄢㄣㄤㆭｎˋ˪ˊ˫．</v>
      </c>
      <c r="B16" s="217">
        <f xml:space="preserve"> LEN(A16)</f>
        <v>41</v>
      </c>
      <c r="E16" s="161" cm="1">
        <f t="array" ref="E16" xml:space="preserve"> ROW() - ROW($2:$2)</f>
        <v>14</v>
      </c>
      <c r="F16" s="186" t="str">
        <f t="shared" si="1"/>
        <v>S</v>
      </c>
      <c r="G16" s="187" t="str">
        <f t="shared" si="2"/>
        <v>v</v>
      </c>
      <c r="I16" s="161">
        <v>14</v>
      </c>
      <c r="J16" s="176" t="str">
        <f t="shared" si="3"/>
        <v>v</v>
      </c>
      <c r="K16" s="176" t="str">
        <f t="shared" si="4"/>
        <v>ㄒ</v>
      </c>
      <c r="M16" s="161">
        <v>14</v>
      </c>
      <c r="N16" s="175" t="str">
        <f t="shared" si="5"/>
        <v>h</v>
      </c>
      <c r="O16" s="175" t="str">
        <f t="shared" si="6"/>
        <v>ㄏ</v>
      </c>
      <c r="Q16" s="161">
        <v>14</v>
      </c>
      <c r="R16" s="164" t="str">
        <f t="shared" si="7"/>
        <v>v</v>
      </c>
      <c r="S16" s="178" t="str">
        <f t="shared" si="8"/>
        <v>S</v>
      </c>
      <c r="T16" s="231" t="str">
        <f xml:space="preserve"> IFERROR( INDEX($K$3:$K$44, MATCH(表格1_334[[#This Row],[鍵盤按鍵]], $J$3:$J$44,0)), "")</f>
        <v>ㄒ</v>
      </c>
      <c r="W16" s="290" cm="1">
        <f t="array" ref="W16">ROW() - ROW($2:$2)</f>
        <v>14</v>
      </c>
      <c r="X16" s="144" t="s">
        <v>94</v>
      </c>
      <c r="Y16" s="269" t="s">
        <v>129</v>
      </c>
      <c r="Z16" s="97" t="str">
        <f xml:space="preserve"> IFERROR( INDEX(表格1_334[字典編碼], MATCH($X16, 表格1_334[方音符號], 0)), "")</f>
        <v>h</v>
      </c>
      <c r="AA16" s="97" t="str">
        <f t="shared" si="0"/>
        <v>h</v>
      </c>
      <c r="AB16" s="253" t="str">
        <f xml:space="preserve"> IFERROR( INDEX(表格1_334[鍵盤按鍵], MATCH($X16, 表格1_334[方音符號], 0)), "")</f>
        <v>c</v>
      </c>
    </row>
    <row r="17" spans="1:28" ht="32.25">
      <c r="E17" s="161" cm="1">
        <f t="array" ref="E17" xml:space="preserve"> ROW() - ROW($2:$2)</f>
        <v>15</v>
      </c>
      <c r="F17" s="172" t="str">
        <f t="shared" si="1"/>
        <v>g</v>
      </c>
      <c r="G17" s="173" t="str">
        <f t="shared" si="2"/>
        <v>t</v>
      </c>
      <c r="I17" s="161">
        <v>15</v>
      </c>
      <c r="J17" s="176" t="str">
        <f t="shared" si="3"/>
        <v>t</v>
      </c>
      <c r="K17" s="176" t="str">
        <f t="shared" si="4"/>
        <v>ㆣ</v>
      </c>
      <c r="M17" s="161">
        <v>15</v>
      </c>
      <c r="N17" s="175" t="str">
        <f t="shared" si="5"/>
        <v>i</v>
      </c>
      <c r="O17" s="175" t="str">
        <f t="shared" si="6"/>
        <v>ㄧ</v>
      </c>
      <c r="Q17" s="161">
        <v>15</v>
      </c>
      <c r="R17" s="164" t="str">
        <f t="shared" si="7"/>
        <v>t</v>
      </c>
      <c r="S17" s="178" t="str">
        <f t="shared" si="8"/>
        <v>g</v>
      </c>
      <c r="T17" s="231" t="str">
        <f xml:space="preserve"> IFERROR( INDEX($K$3:$K$44, MATCH(表格1_334[[#This Row],[鍵盤按鍵]], $J$3:$J$44,0)), "")</f>
        <v>ㆣ</v>
      </c>
      <c r="W17" s="291" cm="1">
        <f t="array" ref="W17">ROW() - ROW($2:$2)</f>
        <v>15</v>
      </c>
      <c r="X17" s="142" t="s">
        <v>48</v>
      </c>
      <c r="Y17" s="267" t="s">
        <v>154</v>
      </c>
      <c r="Z17" s="93" t="str">
        <f xml:space="preserve"> IFERROR( INDEX(表格1_334[字典編碼], MATCH($X17, 表格1_334[方音符號], 0)), "")</f>
        <v>i</v>
      </c>
      <c r="AA17" s="93" t="str">
        <f t="shared" si="0"/>
        <v>i</v>
      </c>
      <c r="AB17" s="255" t="str">
        <f xml:space="preserve"> IFERROR( INDEX(表格1_334[鍵盤按鍵], MATCH($X17, 表格1_334[方音符號], 0)), "")</f>
        <v>u</v>
      </c>
    </row>
    <row r="18" spans="1:28" ht="32.25">
      <c r="E18" s="161" cm="1">
        <f t="array" ref="E18" xml:space="preserve"> ROW() - ROW($2:$2)</f>
        <v>16</v>
      </c>
      <c r="F18" s="181" t="str">
        <f t="shared" si="1"/>
        <v>q</v>
      </c>
      <c r="G18" s="182" t="str">
        <f t="shared" si="2"/>
        <v>g</v>
      </c>
      <c r="I18" s="161">
        <v>16</v>
      </c>
      <c r="J18" s="176" t="str">
        <f t="shared" si="3"/>
        <v>g</v>
      </c>
      <c r="K18" s="176" t="str">
        <f t="shared" si="4"/>
        <v>ㄫ</v>
      </c>
      <c r="M18" s="161">
        <v>16</v>
      </c>
      <c r="N18" s="175" t="str">
        <f t="shared" si="5"/>
        <v>u</v>
      </c>
      <c r="O18" s="175" t="str">
        <f t="shared" si="6"/>
        <v>ㄨ</v>
      </c>
      <c r="Q18" s="161">
        <v>16</v>
      </c>
      <c r="R18" s="164" t="str">
        <f t="shared" si="7"/>
        <v>g</v>
      </c>
      <c r="S18" s="178" t="str">
        <f t="shared" si="8"/>
        <v>q</v>
      </c>
      <c r="T18" s="231" t="str">
        <f xml:space="preserve"> IFERROR( INDEX($K$3:$K$44, MATCH(表格1_334[[#This Row],[鍵盤按鍵]], $J$3:$J$44,0)), "")</f>
        <v>ㄫ</v>
      </c>
      <c r="W18" s="292" cm="1">
        <f t="array" ref="W18">ROW() - ROW($2:$2)</f>
        <v>16</v>
      </c>
      <c r="X18" s="143" t="s">
        <v>76</v>
      </c>
      <c r="Y18" s="268" t="s">
        <v>156</v>
      </c>
      <c r="Z18" s="95" t="str">
        <f xml:space="preserve"> IFERROR( INDEX(表格1_334[字典編碼], MATCH($X18, 表格1_334[方音符號], 0)), "")</f>
        <v>u</v>
      </c>
      <c r="AA18" s="95" t="str">
        <f t="shared" si="0"/>
        <v>u</v>
      </c>
      <c r="AB18" s="259" t="str">
        <f xml:space="preserve"> IFERROR( INDEX(表格1_334[鍵盤按鍵], MATCH($X18, 表格1_334[方音符號], 0)), "")</f>
        <v>j</v>
      </c>
    </row>
    <row r="19" spans="1:28" ht="32.25">
      <c r="E19" s="161" cm="1">
        <f t="array" ref="E19" xml:space="preserve"> ROW() - ROW($2:$2)</f>
        <v>17</v>
      </c>
      <c r="F19" s="186" t="str">
        <f t="shared" si="1"/>
        <v>z</v>
      </c>
      <c r="G19" s="187" t="str">
        <f t="shared" si="2"/>
        <v>b</v>
      </c>
      <c r="I19" s="161">
        <v>17</v>
      </c>
      <c r="J19" s="176" t="str">
        <f t="shared" si="3"/>
        <v>b</v>
      </c>
      <c r="K19" s="176" t="str">
        <f t="shared" si="4"/>
        <v>ㆡ</v>
      </c>
      <c r="M19" s="161">
        <v>17</v>
      </c>
      <c r="N19" s="175" t="str">
        <f t="shared" si="5"/>
        <v>a</v>
      </c>
      <c r="O19" s="175" t="str">
        <f t="shared" si="6"/>
        <v>ㄚ</v>
      </c>
      <c r="Q19" s="161">
        <v>17</v>
      </c>
      <c r="R19" s="164" t="str">
        <f t="shared" si="7"/>
        <v>b</v>
      </c>
      <c r="S19" s="178" t="str">
        <f t="shared" si="8"/>
        <v>z</v>
      </c>
      <c r="T19" s="231" t="str">
        <f xml:space="preserve"> IFERROR( INDEX($K$3:$K$44, MATCH(表格1_334[[#This Row],[鍵盤按鍵]], $J$3:$J$44,0)), "")</f>
        <v>ㆡ</v>
      </c>
      <c r="W19" s="291" cm="1">
        <f t="array" ref="W19">ROW() - ROW($2:$2)</f>
        <v>17</v>
      </c>
      <c r="X19" s="142" t="s">
        <v>20</v>
      </c>
      <c r="Y19" s="267" t="s">
        <v>137</v>
      </c>
      <c r="Z19" s="93" t="str">
        <f xml:space="preserve"> IFERROR( INDEX(表格1_334[字典編碼], MATCH($X19, 表格1_334[方音符號], 0)), "")</f>
        <v>a</v>
      </c>
      <c r="AA19" s="93" t="str">
        <f t="shared" si="0"/>
        <v>a</v>
      </c>
      <c r="AB19" s="255" t="str">
        <f xml:space="preserve"> IFERROR( INDEX(表格1_334[鍵盤按鍵], MATCH($X19, 表格1_334[方音符號], 0)), "")</f>
        <v>8</v>
      </c>
    </row>
    <row r="20" spans="1:28" ht="32.25">
      <c r="A20" s="219" t="s">
        <v>535</v>
      </c>
      <c r="E20" s="161" cm="1">
        <f t="array" ref="E20" xml:space="preserve"> ROW() - ROW($2:$2)</f>
        <v>18</v>
      </c>
      <c r="F20" s="197" t="str">
        <f t="shared" si="1"/>
        <v>c</v>
      </c>
      <c r="G20" s="198" t="str">
        <f t="shared" si="2"/>
        <v>y</v>
      </c>
      <c r="I20" s="161">
        <v>18</v>
      </c>
      <c r="J20" s="176" t="str">
        <f t="shared" si="3"/>
        <v>y</v>
      </c>
      <c r="K20" s="176" t="str">
        <f t="shared" si="4"/>
        <v>ㄗ</v>
      </c>
      <c r="M20" s="161">
        <v>18</v>
      </c>
      <c r="N20" s="175" t="str">
        <f t="shared" si="5"/>
        <v>o</v>
      </c>
      <c r="O20" s="175" t="str">
        <f t="shared" si="6"/>
        <v>ㆦ</v>
      </c>
      <c r="Q20" s="161">
        <v>18</v>
      </c>
      <c r="R20" s="164" t="str">
        <f t="shared" si="7"/>
        <v>y</v>
      </c>
      <c r="S20" s="178" t="str">
        <f t="shared" si="8"/>
        <v>c</v>
      </c>
      <c r="T20" s="231" t="str">
        <f xml:space="preserve"> IFERROR( INDEX($K$3:$K$44, MATCH(表格1_334[[#This Row],[鍵盤按鍵]], $J$3:$J$44,0)), "")</f>
        <v>ㄗ</v>
      </c>
      <c r="W20" s="293" cm="1">
        <f t="array" ref="W20">ROW() - ROW($2:$2)</f>
        <v>18</v>
      </c>
      <c r="X20" s="141" t="s">
        <v>52</v>
      </c>
      <c r="Y20" s="153" t="s">
        <v>141</v>
      </c>
      <c r="Z20" s="90" t="str">
        <f xml:space="preserve"> IFERROR( INDEX(表格1_334[字典編碼], MATCH($X20, 表格1_334[方音符號], 0)), "")</f>
        <v>e</v>
      </c>
      <c r="AA20" s="90" t="str">
        <f t="shared" si="0"/>
        <v>e</v>
      </c>
      <c r="AB20" s="257" t="str">
        <f xml:space="preserve"> IFERROR( INDEX(表格1_334[鍵盤按鍵], MATCH($X20, 表格1_334[方音符號], 0)), "")</f>
        <v>o</v>
      </c>
    </row>
    <row r="21" spans="1:28" ht="32.25">
      <c r="A21" s="233" t="s">
        <v>611</v>
      </c>
      <c r="E21" s="161" cm="1">
        <f t="array" ref="E21" xml:space="preserve"> ROW() - ROW($2:$2)</f>
        <v>19</v>
      </c>
      <c r="F21" s="202" t="str">
        <f t="shared" si="1"/>
        <v>C</v>
      </c>
      <c r="G21" s="203" t="str">
        <f t="shared" si="2"/>
        <v>h</v>
      </c>
      <c r="I21" s="161">
        <v>19</v>
      </c>
      <c r="J21" s="176" t="str">
        <f t="shared" si="3"/>
        <v>h</v>
      </c>
      <c r="K21" s="176" t="str">
        <f t="shared" si="4"/>
        <v>ㄘ</v>
      </c>
      <c r="M21" s="161">
        <v>19</v>
      </c>
      <c r="N21" s="175" t="str">
        <f t="shared" si="5"/>
        <v>ø</v>
      </c>
      <c r="O21" s="175" t="str">
        <f t="shared" si="6"/>
        <v>ㄜ</v>
      </c>
      <c r="Q21" s="161">
        <v>19</v>
      </c>
      <c r="R21" s="164" t="str">
        <f t="shared" si="7"/>
        <v>h</v>
      </c>
      <c r="S21" s="178" t="str">
        <f t="shared" si="8"/>
        <v>C</v>
      </c>
      <c r="T21" s="231" t="str">
        <f xml:space="preserve"> IFERROR( INDEX($K$3:$K$44, MATCH(表格1_334[[#This Row],[鍵盤按鍵]], $J$3:$J$44,0)), "")</f>
        <v>ㄘ</v>
      </c>
      <c r="W21" s="293" cm="1">
        <f t="array" ref="W21">ROW() - ROW($2:$2)</f>
        <v>19</v>
      </c>
      <c r="X21" s="141" t="s">
        <v>109</v>
      </c>
      <c r="Y21" s="153" t="s">
        <v>79</v>
      </c>
      <c r="Z21" s="265" t="str">
        <f xml:space="preserve"> IFERROR( INDEX(表格1_334[字典編碼], MATCH($X21, 表格1_334[方音符號], 0)), "")</f>
        <v>ø</v>
      </c>
      <c r="AA21" s="265" t="s">
        <v>139</v>
      </c>
      <c r="AB21" s="257" t="str">
        <f xml:space="preserve"> IFERROR( INDEX(表格1_334[鍵盤按鍵], MATCH($X21, 表格1_334[方音符號], 0)), "")</f>
        <v>k</v>
      </c>
    </row>
    <row r="22" spans="1:28" ht="32.25">
      <c r="A22" s="161">
        <f xml:space="preserve"> SEARCH("|",A21,1)</f>
        <v>7</v>
      </c>
      <c r="E22" s="161" cm="1">
        <f t="array" ref="E22" xml:space="preserve"> ROW() - ROW($2:$2)</f>
        <v>20</v>
      </c>
      <c r="F22" s="186" t="str">
        <f t="shared" si="1"/>
        <v>s</v>
      </c>
      <c r="G22" s="187" t="str">
        <f t="shared" si="2"/>
        <v>n</v>
      </c>
      <c r="I22" s="161">
        <v>20</v>
      </c>
      <c r="J22" s="176" t="str">
        <f t="shared" si="3"/>
        <v>n</v>
      </c>
      <c r="K22" s="176" t="str">
        <f t="shared" si="4"/>
        <v>ㄙ</v>
      </c>
      <c r="M22" s="161">
        <v>20</v>
      </c>
      <c r="N22" s="175" t="str">
        <f t="shared" si="5"/>
        <v>e</v>
      </c>
      <c r="O22" s="175" t="str">
        <f t="shared" si="6"/>
        <v>ㆤ</v>
      </c>
      <c r="Q22" s="161">
        <v>20</v>
      </c>
      <c r="R22" s="164" t="str">
        <f t="shared" si="7"/>
        <v>n</v>
      </c>
      <c r="S22" s="178" t="str">
        <f t="shared" si="8"/>
        <v>s</v>
      </c>
      <c r="T22" s="231" t="str">
        <f xml:space="preserve"> IFERROR( INDEX($K$3:$K$44, MATCH(表格1_334[[#This Row],[鍵盤按鍵]], $J$3:$J$44,0)), "")</f>
        <v>ㄙ</v>
      </c>
      <c r="W22" s="292" cm="1">
        <f t="array" ref="W22">ROW() - ROW($2:$2)</f>
        <v>20</v>
      </c>
      <c r="X22" s="143" t="s">
        <v>50</v>
      </c>
      <c r="Y22" s="268" t="s">
        <v>598</v>
      </c>
      <c r="Z22" s="266" t="str">
        <f xml:space="preserve"> IFERROR( INDEX(表格1_334[字典編碼], MATCH($X22, 表格1_334[方音符號], 0)), "")</f>
        <v>o</v>
      </c>
      <c r="AA22" s="266" t="s">
        <v>207</v>
      </c>
      <c r="AB22" s="259" t="str">
        <f xml:space="preserve"> IFERROR( INDEX(表格1_334[鍵盤按鍵], MATCH($X22, 表格1_334[方音符號], 0)), "")</f>
        <v>i</v>
      </c>
    </row>
    <row r="23" spans="1:28" ht="32.25">
      <c r="A23" s="161">
        <f xml:space="preserve"> SEARCH("|",A21,A22+1)</f>
        <v>34</v>
      </c>
      <c r="E23" s="161" cm="1">
        <f t="array" ref="E23" xml:space="preserve"> ROW() - ROW($2:$2)</f>
        <v>21</v>
      </c>
      <c r="F23" s="206" t="str">
        <f t="shared" si="1"/>
        <v>i</v>
      </c>
      <c r="G23" s="206" t="str">
        <f t="shared" si="2"/>
        <v>u</v>
      </c>
      <c r="I23" s="161">
        <v>21</v>
      </c>
      <c r="J23" s="176" t="str">
        <f t="shared" si="3"/>
        <v>u</v>
      </c>
      <c r="K23" s="176" t="str">
        <f t="shared" si="4"/>
        <v>ㄧ</v>
      </c>
      <c r="M23" s="161">
        <v>21</v>
      </c>
      <c r="N23" s="175" t="str">
        <f t="shared" si="5"/>
        <v>I</v>
      </c>
      <c r="O23" s="175" t="str">
        <f t="shared" si="6"/>
        <v>ㄞ</v>
      </c>
      <c r="Q23" s="161">
        <v>21</v>
      </c>
      <c r="R23" s="164" t="str">
        <f t="shared" si="7"/>
        <v>u</v>
      </c>
      <c r="S23" s="178" t="str">
        <f t="shared" si="8"/>
        <v>i</v>
      </c>
      <c r="T23" s="231" t="str">
        <f xml:space="preserve"> IFERROR( INDEX($K$3:$K$44, MATCH(表格1_334[[#This Row],[鍵盤按鍵]], $J$3:$J$44,0)), "")</f>
        <v>ㄧ</v>
      </c>
      <c r="W23" s="291" cm="1">
        <f t="array" ref="W23">ROW() - ROW($2:$2)</f>
        <v>21</v>
      </c>
      <c r="X23" s="142" t="s">
        <v>607</v>
      </c>
      <c r="Y23" s="267" t="s">
        <v>143</v>
      </c>
      <c r="Z23" s="93" t="str">
        <f xml:space="preserve"> IFERROR( INDEX(表格1_334[字典編碼], MATCH($X23, 表格1_334[方音符號], 0)), "")</f>
        <v>I</v>
      </c>
      <c r="AA23" s="93" t="str">
        <f t="shared" si="0"/>
        <v>I</v>
      </c>
      <c r="AB23" s="255" t="str">
        <f xml:space="preserve"> IFERROR( INDEX(表格1_334[鍵盤按鍵], MATCH($X23, 表格1_334[方音符號], 0)), "")</f>
        <v>9</v>
      </c>
    </row>
    <row r="24" spans="1:28" ht="32.25">
      <c r="A24" s="161">
        <f xml:space="preserve"> SEARCH("|",A21,A23+1)</f>
        <v>61</v>
      </c>
      <c r="E24" s="161" cm="1">
        <f t="array" ref="E24" xml:space="preserve"> ROW() - ROW($2:$2)</f>
        <v>22</v>
      </c>
      <c r="F24" s="206" t="str">
        <f t="shared" si="1"/>
        <v>u</v>
      </c>
      <c r="G24" s="206" t="str">
        <f t="shared" si="2"/>
        <v>j</v>
      </c>
      <c r="I24" s="161">
        <v>22</v>
      </c>
      <c r="J24" s="176" t="str">
        <f t="shared" si="3"/>
        <v>j</v>
      </c>
      <c r="K24" s="176" t="str">
        <f t="shared" si="4"/>
        <v>ㄨ</v>
      </c>
      <c r="M24" s="161">
        <v>22</v>
      </c>
      <c r="N24" s="175" t="str">
        <f t="shared" si="5"/>
        <v>U</v>
      </c>
      <c r="O24" s="175" t="str">
        <f t="shared" si="6"/>
        <v>ㄠ</v>
      </c>
      <c r="Q24" s="161">
        <v>22</v>
      </c>
      <c r="R24" s="164" t="str">
        <f t="shared" si="7"/>
        <v>j</v>
      </c>
      <c r="S24" s="178" t="str">
        <f t="shared" si="8"/>
        <v>u</v>
      </c>
      <c r="T24" s="231" t="str">
        <f xml:space="preserve"> IFERROR( INDEX($K$3:$K$44, MATCH(表格1_334[[#This Row],[鍵盤按鍵]], $J$3:$J$44,0)), "")</f>
        <v>ㄨ</v>
      </c>
      <c r="W24" s="293" cm="1">
        <f t="array" ref="W24">ROW() - ROW($2:$2)</f>
        <v>22</v>
      </c>
      <c r="X24" s="141" t="s">
        <v>80</v>
      </c>
      <c r="Y24" s="153" t="s">
        <v>145</v>
      </c>
      <c r="Z24" s="90" t="str">
        <f xml:space="preserve"> IFERROR( INDEX(表格1_334[字典編碼], MATCH($X24, 表格1_334[方音符號], 0)), "")</f>
        <v>U</v>
      </c>
      <c r="AA24" s="90" t="str">
        <f t="shared" si="0"/>
        <v>U</v>
      </c>
      <c r="AB24" s="257" t="str">
        <f xml:space="preserve"> IFERROR( INDEX(表格1_334[鍵盤按鍵], MATCH($X24, 表格1_334[方音符號], 0)), "")</f>
        <v>l</v>
      </c>
    </row>
    <row r="25" spans="1:28" ht="32.25">
      <c r="A25" s="216" t="str">
        <f xml:space="preserve"> MID(A21,A22+1, A24-A23-1)</f>
        <v>pPbtTdkKgcCzshiuaoøeIUBDGN</v>
      </c>
      <c r="B25" s="217">
        <f xml:space="preserve"> LEN(A25)</f>
        <v>26</v>
      </c>
      <c r="E25" s="161" cm="1">
        <f t="array" ref="E25" xml:space="preserve"> ROW() - ROW($2:$2)</f>
        <v>23</v>
      </c>
      <c r="F25" s="206" t="str">
        <f t="shared" si="1"/>
        <v>B</v>
      </c>
      <c r="G25" s="206" t="str">
        <f t="shared" si="2"/>
        <v>m</v>
      </c>
      <c r="I25" s="161">
        <v>23</v>
      </c>
      <c r="J25" s="176" t="str">
        <f t="shared" si="3"/>
        <v>m</v>
      </c>
      <c r="K25" s="176" t="str">
        <f t="shared" si="4"/>
        <v>ㆬ</v>
      </c>
      <c r="M25" s="161">
        <v>23</v>
      </c>
      <c r="N25" s="175" t="str">
        <f t="shared" si="5"/>
        <v>B</v>
      </c>
      <c r="O25" s="175" t="str">
        <f t="shared" si="6"/>
        <v>ㆬ</v>
      </c>
      <c r="Q25" s="161">
        <v>23</v>
      </c>
      <c r="R25" s="164" t="str">
        <f t="shared" si="7"/>
        <v>m</v>
      </c>
      <c r="S25" s="178" t="str">
        <f t="shared" si="8"/>
        <v>B</v>
      </c>
      <c r="T25" s="231" t="str">
        <f xml:space="preserve"> IFERROR( INDEX($K$3:$K$44, MATCH(表格1_334[[#This Row],[鍵盤按鍵]], $J$3:$J$44,0)), "")</f>
        <v>ㆬ</v>
      </c>
      <c r="W25" s="291" cm="1">
        <f t="array" ref="W25">ROW() - ROW($2:$2)</f>
        <v>23</v>
      </c>
      <c r="X25" s="142" t="s">
        <v>102</v>
      </c>
      <c r="Y25" s="270" t="s">
        <v>153</v>
      </c>
      <c r="Z25" s="93" t="str">
        <f xml:space="preserve"> IFERROR( INDEX(表格1_334[字典編碼], MATCH($X25, 表格1_334[方音符號], 0)), "")</f>
        <v>G</v>
      </c>
      <c r="AA25" s="93" t="str">
        <f t="shared" si="0"/>
        <v>G</v>
      </c>
      <c r="AB25" s="255" t="str">
        <f xml:space="preserve"> IFERROR( INDEX(表格1_334[鍵盤按鍵], MATCH($X25, 表格1_334[方音符號], 0)), "")</f>
        <v>/</v>
      </c>
    </row>
    <row r="26" spans="1:28" ht="32.25">
      <c r="A26" s="216" t="str">
        <f xml:space="preserve"> MID(A21,A23+1, A24-A23-1)</f>
        <v>ㄅㄆㆠㄉㄊㄌㄍㄎㆣㄗㄘㆡㄙㄏㄧㄨㄚㆦㄜㆤㄞㄠㆬㄣㆭｎ</v>
      </c>
      <c r="B26" s="217">
        <f xml:space="preserve"> LEN(A26)</f>
        <v>26</v>
      </c>
      <c r="E26" s="161" cm="1">
        <f t="array" ref="E26" xml:space="preserve"> ROW() - ROW($2:$2)</f>
        <v>24</v>
      </c>
      <c r="F26" s="206" t="str">
        <f t="shared" si="1"/>
        <v>a</v>
      </c>
      <c r="G26" s="206" t="str">
        <f t="shared" si="2"/>
        <v>8</v>
      </c>
      <c r="I26" s="161">
        <v>24</v>
      </c>
      <c r="J26" s="176" t="str">
        <f t="shared" si="3"/>
        <v>8</v>
      </c>
      <c r="K26" s="176" t="str">
        <f t="shared" si="4"/>
        <v>ㄚ</v>
      </c>
      <c r="M26" s="161">
        <v>24</v>
      </c>
      <c r="N26" s="175" t="str">
        <f t="shared" si="5"/>
        <v>D</v>
      </c>
      <c r="O26" s="175" t="str">
        <f t="shared" si="6"/>
        <v>ㄣ</v>
      </c>
      <c r="Q26" s="161">
        <v>24</v>
      </c>
      <c r="R26" s="164" t="str">
        <f t="shared" si="7"/>
        <v>8</v>
      </c>
      <c r="S26" s="178" t="str">
        <f t="shared" si="8"/>
        <v>a</v>
      </c>
      <c r="T26" s="231" t="str">
        <f xml:space="preserve"> IFERROR( INDEX($K$3:$K$44, MATCH(表格1_334[[#This Row],[鍵盤按鍵]], $J$3:$J$44,0)), "")</f>
        <v>ㄚ</v>
      </c>
      <c r="W26" s="293" cm="1">
        <f t="array" ref="W26">ROW() - ROW($2:$2)</f>
        <v>24</v>
      </c>
      <c r="X26" s="141" t="s">
        <v>54</v>
      </c>
      <c r="Y26" s="271" t="s">
        <v>233</v>
      </c>
      <c r="Z26" s="90" t="str">
        <f xml:space="preserve"> IFERROR( INDEX(表格1_334[字典編碼], MATCH($X26, 表格1_334[方音符號], 0)), "")</f>
        <v>D</v>
      </c>
      <c r="AA26" s="90" t="str">
        <f t="shared" si="0"/>
        <v>D</v>
      </c>
      <c r="AB26" s="257" t="str">
        <f xml:space="preserve"> IFERROR( INDEX(表格1_334[鍵盤按鍵], MATCH($X26, 表格1_334[方音符號], 0)), "")</f>
        <v>p</v>
      </c>
    </row>
    <row r="27" spans="1:28" ht="32.25">
      <c r="E27" s="161" cm="1">
        <f t="array" ref="E27" xml:space="preserve"> ROW() - ROW($2:$2)</f>
        <v>25</v>
      </c>
      <c r="F27" s="206" t="str">
        <f t="shared" si="1"/>
        <v>o</v>
      </c>
      <c r="G27" s="206" t="str">
        <f t="shared" si="2"/>
        <v>i</v>
      </c>
      <c r="I27" s="161">
        <v>25</v>
      </c>
      <c r="J27" s="176" t="str">
        <f t="shared" si="3"/>
        <v>i</v>
      </c>
      <c r="K27" s="176" t="str">
        <f t="shared" si="4"/>
        <v>ㆦ</v>
      </c>
      <c r="M27" s="161">
        <v>25</v>
      </c>
      <c r="N27" s="175" t="str">
        <f t="shared" si="5"/>
        <v>G</v>
      </c>
      <c r="O27" s="175" t="str">
        <f t="shared" si="6"/>
        <v>ㆭ</v>
      </c>
      <c r="Q27" s="161">
        <v>25</v>
      </c>
      <c r="R27" s="164" t="str">
        <f t="shared" si="7"/>
        <v>i</v>
      </c>
      <c r="S27" s="178" t="str">
        <f t="shared" si="8"/>
        <v>o</v>
      </c>
      <c r="T27" s="231" t="str">
        <f xml:space="preserve"> IFERROR( INDEX($K$3:$K$44, MATCH(表格1_334[[#This Row],[鍵盤按鍵]], $J$3:$J$44,0)), "")</f>
        <v>ㆦ</v>
      </c>
      <c r="W27" s="292" cm="1">
        <f t="array" ref="W27">ROW() - ROW($2:$2)</f>
        <v>25</v>
      </c>
      <c r="X27" s="143" t="s">
        <v>516</v>
      </c>
      <c r="Y27" s="272" t="s">
        <v>234</v>
      </c>
      <c r="Z27" s="95" t="str">
        <f xml:space="preserve"> IFERROR( INDEX(表格1_334[字典編碼], MATCH($X27, 表格1_334[方音符號], 0)), "")</f>
        <v>B</v>
      </c>
      <c r="AA27" s="95" t="str">
        <f t="shared" si="0"/>
        <v>B</v>
      </c>
      <c r="AB27" s="259" t="str">
        <f xml:space="preserve"> IFERROR( INDEX(表格1_334[鍵盤按鍵], MATCH($X27, 表格1_334[方音符號], 0)), "")</f>
        <v>m</v>
      </c>
    </row>
    <row r="28" spans="1:28" ht="32.25">
      <c r="E28" s="161" cm="1">
        <f t="array" ref="E28" xml:space="preserve"> ROW() - ROW($2:$2)</f>
        <v>26</v>
      </c>
      <c r="F28" s="206" t="str">
        <f t="shared" si="1"/>
        <v>ø</v>
      </c>
      <c r="G28" s="206" t="str">
        <f t="shared" si="2"/>
        <v>k</v>
      </c>
      <c r="I28" s="161">
        <v>26</v>
      </c>
      <c r="J28" s="176" t="str">
        <f t="shared" si="3"/>
        <v>k</v>
      </c>
      <c r="K28" s="176" t="str">
        <f t="shared" si="4"/>
        <v>ㄜ</v>
      </c>
      <c r="M28" s="161">
        <v>26</v>
      </c>
      <c r="N28" s="175" t="str">
        <f t="shared" si="5"/>
        <v>N</v>
      </c>
      <c r="O28" s="175" t="str">
        <f t="shared" si="6"/>
        <v>ｎ</v>
      </c>
      <c r="Q28" s="161">
        <v>26</v>
      </c>
      <c r="R28" s="164" t="str">
        <f t="shared" si="7"/>
        <v>k</v>
      </c>
      <c r="S28" s="178" t="str">
        <f t="shared" si="8"/>
        <v>ø</v>
      </c>
      <c r="T28" s="231" t="str">
        <f xml:space="preserve"> IFERROR( INDEX($K$3:$K$44, MATCH(表格1_334[[#This Row],[鍵盤按鍵]], $J$3:$J$44,0)), "")</f>
        <v>ㄜ</v>
      </c>
      <c r="W28" s="292" cm="1">
        <f t="array" ref="W28">ROW() - ROW($2:$2)</f>
        <v>26</v>
      </c>
      <c r="X28" s="143" t="s">
        <v>235</v>
      </c>
      <c r="Y28" s="274" t="s">
        <v>197</v>
      </c>
      <c r="Z28" s="95" t="s">
        <v>595</v>
      </c>
      <c r="AA28" s="95" t="str">
        <f t="shared" ref="AA28:AA39" si="9">Z28</f>
        <v>N</v>
      </c>
      <c r="AB28" s="259" t="s">
        <v>620</v>
      </c>
    </row>
    <row r="29" spans="1:28" ht="32.25">
      <c r="E29" s="161" cm="1">
        <f t="array" ref="E29" xml:space="preserve"> ROW() - ROW($2:$2)</f>
        <v>27</v>
      </c>
      <c r="F29" s="206" t="str">
        <f t="shared" si="1"/>
        <v>M</v>
      </c>
      <c r="G29" s="206" t="str">
        <f t="shared" si="2"/>
        <v>,</v>
      </c>
      <c r="I29" s="161">
        <v>27</v>
      </c>
      <c r="J29" s="176" t="str">
        <f t="shared" si="3"/>
        <v>,</v>
      </c>
      <c r="K29" s="176" t="str">
        <f t="shared" si="4"/>
        <v>ㆰ</v>
      </c>
      <c r="M29" s="161">
        <v>27</v>
      </c>
      <c r="N29" s="175" t="str">
        <f t="shared" ref="N29:N44" si="10" xml:space="preserve"> IFERROR( MID($A$23, $E29, 1), "")</f>
        <v/>
      </c>
      <c r="O29" s="175" t="str">
        <f t="shared" ref="O29:O44" si="11" xml:space="preserve"> IFERROR( MID($A$24, $E29, 1), "")</f>
        <v/>
      </c>
      <c r="Q29" s="161">
        <v>27</v>
      </c>
      <c r="R29" s="164" t="str">
        <f t="shared" si="7"/>
        <v>,</v>
      </c>
      <c r="S29" s="178" t="str">
        <f t="shared" si="8"/>
        <v>M</v>
      </c>
      <c r="T29" s="231" t="str">
        <f xml:space="preserve"> IFERROR( INDEX($K$3:$K$44, MATCH(表格1_334[[#This Row],[鍵盤按鍵]], $J$3:$J$44,0)), "")</f>
        <v>ㆰ</v>
      </c>
      <c r="W29" s="18" cm="1">
        <f t="array" ref="W29">ROW() - ROW($2:$2)</f>
        <v>27</v>
      </c>
      <c r="X29" s="278" t="s">
        <v>55</v>
      </c>
      <c r="Y29" s="153" t="s">
        <v>124</v>
      </c>
      <c r="Z29" s="90" t="str">
        <f xml:space="preserve"> IFERROR( INDEX(表格1_334[字典編碼], MATCH($X29, 表格1_334[方音符號], 0)), "")</f>
        <v>m</v>
      </c>
      <c r="AA29" s="90" t="str">
        <f t="shared" si="9"/>
        <v>m</v>
      </c>
      <c r="AB29" s="91" t="str">
        <f xml:space="preserve"> IFERROR( INDEX(表格1_334[鍵盤按鍵], MATCH($X29, 表格1_334[方音符號], 0)), "")</f>
        <v>a</v>
      </c>
    </row>
    <row r="30" spans="1:28" ht="32.25">
      <c r="E30" s="161" cm="1">
        <f t="array" ref="E30" xml:space="preserve"> ROW() - ROW($2:$2)</f>
        <v>28</v>
      </c>
      <c r="F30" s="206" t="str">
        <f t="shared" si="1"/>
        <v>I</v>
      </c>
      <c r="G30" s="206" t="str">
        <f t="shared" si="2"/>
        <v>9</v>
      </c>
      <c r="I30" s="161">
        <v>28</v>
      </c>
      <c r="J30" s="176" t="str">
        <f t="shared" si="3"/>
        <v>9</v>
      </c>
      <c r="K30" s="176" t="str">
        <f t="shared" si="4"/>
        <v>ㄞ</v>
      </c>
      <c r="M30" s="161">
        <v>28</v>
      </c>
      <c r="N30" s="175" t="str">
        <f t="shared" si="10"/>
        <v/>
      </c>
      <c r="O30" s="175" t="str">
        <f t="shared" si="11"/>
        <v/>
      </c>
      <c r="Q30" s="161">
        <v>28</v>
      </c>
      <c r="R30" s="164" t="str">
        <f t="shared" si="7"/>
        <v>9</v>
      </c>
      <c r="S30" s="178" t="str">
        <f t="shared" si="8"/>
        <v>I</v>
      </c>
      <c r="T30" s="231" t="str">
        <f xml:space="preserve"> IFERROR( INDEX($K$3:$K$44, MATCH(表格1_334[[#This Row],[鍵盤按鍵]], $J$3:$J$44,0)), "")</f>
        <v>ㄞ</v>
      </c>
      <c r="W30" s="19" cm="1">
        <f t="array" ref="W30">ROW() - ROW($2:$2)</f>
        <v>28</v>
      </c>
      <c r="X30" s="278" t="s">
        <v>92</v>
      </c>
      <c r="Y30" s="268" t="s">
        <v>93</v>
      </c>
      <c r="Z30" s="95" t="str">
        <f xml:space="preserve"> IFERROR( INDEX(表格1_334[字典編碼], MATCH($X30, 表格1_334[方音符號], 0)), "")</f>
        <v>d</v>
      </c>
      <c r="AA30" s="95" t="str">
        <f t="shared" si="9"/>
        <v>d</v>
      </c>
      <c r="AB30" s="96" t="str">
        <f xml:space="preserve"> IFERROR( INDEX(表格1_334[鍵盤按鍵], MATCH($X30, 表格1_334[方音符號], 0)), "")</f>
        <v>x</v>
      </c>
    </row>
    <row r="31" spans="1:28" ht="32.25">
      <c r="E31" s="161" cm="1">
        <f t="array" ref="E31" xml:space="preserve"> ROW() - ROW($2:$2)</f>
        <v>29</v>
      </c>
      <c r="F31" s="206" t="str">
        <f t="shared" si="1"/>
        <v>e</v>
      </c>
      <c r="G31" s="206" t="str">
        <f t="shared" si="2"/>
        <v>o</v>
      </c>
      <c r="I31" s="161">
        <v>29</v>
      </c>
      <c r="J31" s="176" t="str">
        <f t="shared" si="3"/>
        <v>o</v>
      </c>
      <c r="K31" s="176" t="str">
        <f t="shared" si="4"/>
        <v>ㆤ</v>
      </c>
      <c r="M31" s="161">
        <v>29</v>
      </c>
      <c r="N31" s="175" t="str">
        <f t="shared" si="10"/>
        <v/>
      </c>
      <c r="O31" s="175" t="str">
        <f t="shared" si="11"/>
        <v/>
      </c>
      <c r="Q31" s="161">
        <v>29</v>
      </c>
      <c r="R31" s="164" t="str">
        <f t="shared" si="7"/>
        <v>o</v>
      </c>
      <c r="S31" s="178" t="str">
        <f t="shared" si="8"/>
        <v>e</v>
      </c>
      <c r="T31" s="231" t="str">
        <f xml:space="preserve"> IFERROR( INDEX($K$3:$K$44, MATCH(表格1_334[[#This Row],[鍵盤按鍵]], $J$3:$J$44,0)), "")</f>
        <v>ㆤ</v>
      </c>
      <c r="W31" s="18" cm="1">
        <f t="array" ref="W31">ROW() - ROW($2:$2)</f>
        <v>29</v>
      </c>
      <c r="X31" s="141" t="s">
        <v>72</v>
      </c>
      <c r="Y31" s="153" t="s">
        <v>128</v>
      </c>
      <c r="Z31" s="90" t="str">
        <f xml:space="preserve"> IFERROR( INDEX(表格1_334[字典編碼], MATCH($X31, 表格1_334[方音符號], 0)), "")</f>
        <v>q</v>
      </c>
      <c r="AA31" s="90" t="str">
        <f t="shared" si="9"/>
        <v>q</v>
      </c>
      <c r="AB31" s="91" t="str">
        <f xml:space="preserve"> IFERROR( INDEX(表格1_334[鍵盤按鍵], MATCH($X31, 表格1_334[方音符號], 0)), "")</f>
        <v>g</v>
      </c>
    </row>
    <row r="32" spans="1:28" ht="32.25">
      <c r="E32" s="161" cm="1">
        <f t="array" ref="E32" xml:space="preserve"> ROW() - ROW($2:$2)</f>
        <v>30</v>
      </c>
      <c r="F32" s="206" t="str">
        <f t="shared" si="1"/>
        <v>U</v>
      </c>
      <c r="G32" s="206" t="str">
        <f t="shared" si="2"/>
        <v>l</v>
      </c>
      <c r="I32" s="161">
        <v>30</v>
      </c>
      <c r="J32" s="176" t="str">
        <f t="shared" si="3"/>
        <v>l</v>
      </c>
      <c r="K32" s="176" t="str">
        <f t="shared" si="4"/>
        <v>ㄠ</v>
      </c>
      <c r="M32" s="161">
        <v>30</v>
      </c>
      <c r="N32" s="175" t="str">
        <f t="shared" si="10"/>
        <v/>
      </c>
      <c r="O32" s="175" t="str">
        <f t="shared" si="11"/>
        <v/>
      </c>
      <c r="Q32" s="161">
        <v>30</v>
      </c>
      <c r="R32" s="164" t="str">
        <f t="shared" si="7"/>
        <v>l</v>
      </c>
      <c r="S32" s="178" t="str">
        <f t="shared" si="8"/>
        <v>U</v>
      </c>
      <c r="T32" s="231" t="str">
        <f xml:space="preserve"> IFERROR( INDEX($K$3:$K$44, MATCH(表格1_334[[#This Row],[鍵盤按鍵]], $J$3:$J$44,0)), "")</f>
        <v>ㄠ</v>
      </c>
      <c r="W32" s="275" cm="1">
        <f t="array" ref="W32">ROW() - ROW($2:$2)</f>
        <v>30</v>
      </c>
      <c r="X32" s="142" t="s">
        <v>43</v>
      </c>
      <c r="Y32" s="267" t="s">
        <v>130</v>
      </c>
      <c r="Z32" s="93" t="str">
        <f xml:space="preserve"> IFERROR( INDEX(表格1_334[字典編碼], MATCH($X32, 表格1_334[方音符號], 0)), "")</f>
        <v>j</v>
      </c>
      <c r="AA32" s="93" t="str">
        <f t="shared" si="9"/>
        <v>j</v>
      </c>
      <c r="AB32" s="255" t="str">
        <f xml:space="preserve"> IFERROR( INDEX(表格1_334[鍵盤按鍵], MATCH($X32, 表格1_334[方音符號], 0)), "")</f>
        <v>r</v>
      </c>
    </row>
    <row r="33" spans="5:29" ht="32.25">
      <c r="E33" s="161" cm="1">
        <f t="array" ref="E33" xml:space="preserve"> ROW() - ROW($2:$2)</f>
        <v>31</v>
      </c>
      <c r="F33" s="206" t="str">
        <f t="shared" si="1"/>
        <v>Y</v>
      </c>
      <c r="G33" s="206" t="str">
        <f t="shared" si="2"/>
        <v>.</v>
      </c>
      <c r="I33" s="161">
        <v>31</v>
      </c>
      <c r="J33" s="176" t="str">
        <f t="shared" si="3"/>
        <v>.</v>
      </c>
      <c r="K33" s="176" t="str">
        <f t="shared" si="4"/>
        <v>ㆲ</v>
      </c>
      <c r="M33" s="161">
        <v>31</v>
      </c>
      <c r="N33" s="175" t="str">
        <f t="shared" si="10"/>
        <v/>
      </c>
      <c r="O33" s="175" t="str">
        <f t="shared" si="11"/>
        <v/>
      </c>
      <c r="Q33" s="161">
        <v>31</v>
      </c>
      <c r="R33" s="164" t="str">
        <f t="shared" si="7"/>
        <v>.</v>
      </c>
      <c r="S33" s="178" t="str">
        <f t="shared" si="8"/>
        <v>Y</v>
      </c>
      <c r="T33" s="231" t="str">
        <f xml:space="preserve"> IFERROR( INDEX($K$3:$K$44, MATCH(表格1_334[[#This Row],[鍵盤按鍵]], $J$3:$J$44,0)), "")</f>
        <v>ㆲ</v>
      </c>
      <c r="W33" s="276" cm="1">
        <f t="array" ref="W33">ROW() - ROW($2:$2)</f>
        <v>31</v>
      </c>
      <c r="X33" s="141" t="s">
        <v>71</v>
      </c>
      <c r="Y33" s="153" t="s">
        <v>132</v>
      </c>
      <c r="Z33" s="90" t="str">
        <f xml:space="preserve"> IFERROR( INDEX(表格1_334[字典編碼], MATCH($X33, 表格1_334[方音符號], 0)), "")</f>
        <v>J</v>
      </c>
      <c r="AA33" s="90" t="str">
        <f t="shared" si="9"/>
        <v>J</v>
      </c>
      <c r="AB33" s="257" t="str">
        <f xml:space="preserve"> IFERROR( INDEX(表格1_334[鍵盤按鍵], MATCH($X33, 表格1_334[方音符號], 0)), "")</f>
        <v>f</v>
      </c>
    </row>
    <row r="34" spans="5:29" ht="32.25">
      <c r="E34" s="161" cm="1">
        <f t="array" ref="E34" xml:space="preserve"> ROW() - ROW($2:$2)</f>
        <v>32</v>
      </c>
      <c r="F34" s="206" t="str">
        <f t="shared" si="1"/>
        <v>L</v>
      </c>
      <c r="G34" s="206" t="str">
        <f t="shared" si="2"/>
        <v>0</v>
      </c>
      <c r="I34" s="161">
        <v>32</v>
      </c>
      <c r="J34" s="176" t="str">
        <f t="shared" si="3"/>
        <v>0</v>
      </c>
      <c r="K34" s="176" t="str">
        <f t="shared" si="4"/>
        <v>ㄢ</v>
      </c>
      <c r="M34" s="161">
        <v>32</v>
      </c>
      <c r="N34" s="175" t="str">
        <f t="shared" si="10"/>
        <v/>
      </c>
      <c r="O34" s="175" t="str">
        <f t="shared" si="11"/>
        <v/>
      </c>
      <c r="Q34" s="161">
        <v>32</v>
      </c>
      <c r="R34" s="164" t="str">
        <f t="shared" si="7"/>
        <v>0</v>
      </c>
      <c r="S34" s="178" t="str">
        <f t="shared" si="8"/>
        <v>L</v>
      </c>
      <c r="T34" s="231" t="str">
        <f xml:space="preserve"> IFERROR( INDEX($K$3:$K$44, MATCH(表格1_334[[#This Row],[鍵盤按鍵]], $J$3:$J$44,0)), "")</f>
        <v>ㄢ</v>
      </c>
      <c r="W34" s="277" cm="1">
        <f t="array" ref="W34">ROW() - ROW($2:$2)</f>
        <v>32</v>
      </c>
      <c r="X34" s="143" t="s">
        <v>198</v>
      </c>
      <c r="Y34" s="268" t="s">
        <v>133</v>
      </c>
      <c r="Z34" s="95" t="str">
        <f xml:space="preserve"> IFERROR( INDEX(表格1_334[字典編碼], MATCH($X34, 表格1_334[方音符號], 0)), "")</f>
        <v>S</v>
      </c>
      <c r="AA34" s="95" t="str">
        <f t="shared" si="9"/>
        <v>S</v>
      </c>
      <c r="AB34" s="259" t="str">
        <f xml:space="preserve"> IFERROR( INDEX(表格1_334[鍵盤按鍵], MATCH($X34, 表格1_334[方音符號], 0)), "")</f>
        <v>v</v>
      </c>
    </row>
    <row r="35" spans="5:29" ht="32.25">
      <c r="E35" s="161" cm="1">
        <f t="array" ref="E35" xml:space="preserve"> ROW() - ROW($2:$2)</f>
        <v>33</v>
      </c>
      <c r="F35" s="206" t="str">
        <f t="shared" si="1"/>
        <v>D</v>
      </c>
      <c r="G35" s="206" t="str">
        <f t="shared" si="2"/>
        <v>p</v>
      </c>
      <c r="I35" s="161">
        <v>33</v>
      </c>
      <c r="J35" s="176" t="str">
        <f t="shared" si="3"/>
        <v>p</v>
      </c>
      <c r="K35" s="176" t="str">
        <f t="shared" si="4"/>
        <v>ㄣ</v>
      </c>
      <c r="M35" s="161">
        <v>33</v>
      </c>
      <c r="N35" s="175" t="str">
        <f t="shared" si="10"/>
        <v/>
      </c>
      <c r="O35" s="175" t="str">
        <f t="shared" si="11"/>
        <v/>
      </c>
      <c r="Q35" s="161">
        <v>33</v>
      </c>
      <c r="R35" s="164" t="str">
        <f t="shared" si="7"/>
        <v>p</v>
      </c>
      <c r="S35" s="178" t="str">
        <f t="shared" si="8"/>
        <v>D</v>
      </c>
      <c r="T35" s="231" t="str">
        <f xml:space="preserve"> IFERROR( INDEX($K$3:$K$44, MATCH(表格1_334[[#This Row],[鍵盤按鍵]], $J$3:$J$44,0)), "")</f>
        <v>ㄣ</v>
      </c>
      <c r="W35" s="256" cm="1">
        <f t="array" ref="W35">ROW() - ROW($2:$2)</f>
        <v>33</v>
      </c>
      <c r="X35" s="141" t="s">
        <v>81</v>
      </c>
      <c r="Y35" s="153" t="s">
        <v>151</v>
      </c>
      <c r="Z35" s="90" t="str">
        <f xml:space="preserve"> IFERROR( INDEX(表格1_334[字典編碼], MATCH($X35, 表格1_334[方音符號], 0)), "")</f>
        <v>Q</v>
      </c>
      <c r="AA35" s="90" t="str">
        <f t="shared" si="9"/>
        <v>Q</v>
      </c>
      <c r="AB35" s="257" t="str">
        <f xml:space="preserve"> IFERROR( INDEX(表格1_334[鍵盤按鍵], MATCH($X35, 表格1_334[方音符號], 0)), "")</f>
        <v>;</v>
      </c>
    </row>
    <row r="36" spans="5:29" ht="32.25">
      <c r="E36" s="161" cm="1">
        <f t="array" ref="E36" xml:space="preserve"> ROW() - ROW($2:$2)</f>
        <v>34</v>
      </c>
      <c r="F36" s="206" t="str">
        <f t="shared" si="1"/>
        <v>Q</v>
      </c>
      <c r="G36" s="206" t="str">
        <f t="shared" si="2"/>
        <v>;</v>
      </c>
      <c r="I36" s="161">
        <v>34</v>
      </c>
      <c r="J36" s="176" t="str">
        <f t="shared" si="3"/>
        <v>;</v>
      </c>
      <c r="K36" s="176" t="str">
        <f t="shared" si="4"/>
        <v>ㄤ</v>
      </c>
      <c r="M36" s="161">
        <v>34</v>
      </c>
      <c r="N36" s="175" t="str">
        <f t="shared" si="10"/>
        <v/>
      </c>
      <c r="O36" s="175" t="str">
        <f t="shared" si="11"/>
        <v/>
      </c>
      <c r="Q36" s="161">
        <v>34</v>
      </c>
      <c r="R36" s="164" t="str">
        <f t="shared" si="7"/>
        <v>;</v>
      </c>
      <c r="S36" s="178" t="str">
        <f t="shared" si="8"/>
        <v>Q</v>
      </c>
      <c r="T36" s="231" t="str">
        <f xml:space="preserve"> IFERROR( INDEX($K$3:$K$44, MATCH(表格1_334[[#This Row],[鍵盤按鍵]], $J$3:$J$44,0)), "")</f>
        <v>ㄤ</v>
      </c>
      <c r="W36" s="256" cm="1">
        <f t="array" ref="W36">ROW() - ROW($2:$2)</f>
        <v>34</v>
      </c>
      <c r="X36" s="141" t="s">
        <v>23</v>
      </c>
      <c r="Y36" s="153" t="s">
        <v>149</v>
      </c>
      <c r="Z36" s="90" t="str">
        <f xml:space="preserve"> IFERROR( INDEX(表格1_334[字典編碼], MATCH($X36, 表格1_334[方音符號], 0)), "")</f>
        <v>L</v>
      </c>
      <c r="AA36" s="90" t="str">
        <f t="shared" si="9"/>
        <v>L</v>
      </c>
      <c r="AB36" s="257" t="str">
        <f xml:space="preserve"> IFERROR( INDEX(表格1_334[鍵盤按鍵], MATCH($X36, 表格1_334[方音符號], 0)), "")</f>
        <v>0</v>
      </c>
    </row>
    <row r="37" spans="5:29" ht="32.25">
      <c r="E37" s="161" cm="1">
        <f t="array" ref="E37" xml:space="preserve"> ROW() - ROW($2:$2)</f>
        <v>35</v>
      </c>
      <c r="F37" s="206" t="str">
        <f t="shared" si="1"/>
        <v>G</v>
      </c>
      <c r="G37" s="206" t="str">
        <f t="shared" si="2"/>
        <v>/</v>
      </c>
      <c r="I37" s="161">
        <v>35</v>
      </c>
      <c r="J37" s="176" t="str">
        <f t="shared" si="3"/>
        <v>/</v>
      </c>
      <c r="K37" s="176" t="str">
        <f t="shared" si="4"/>
        <v>ㆭ</v>
      </c>
      <c r="M37" s="161">
        <v>35</v>
      </c>
      <c r="N37" s="175" t="str">
        <f t="shared" si="10"/>
        <v/>
      </c>
      <c r="O37" s="175" t="str">
        <f t="shared" si="11"/>
        <v/>
      </c>
      <c r="Q37" s="161">
        <v>35</v>
      </c>
      <c r="R37" s="164" t="str">
        <f t="shared" si="7"/>
        <v>/</v>
      </c>
      <c r="S37" s="178" t="str">
        <f t="shared" si="8"/>
        <v>G</v>
      </c>
      <c r="T37" s="231" t="str">
        <f xml:space="preserve"> IFERROR( INDEX($K$3:$K$44, MATCH(表格1_334[[#This Row],[鍵盤按鍵]], $J$3:$J$44,0)), "")</f>
        <v>ㆭ</v>
      </c>
      <c r="W37" s="256" cm="1">
        <f t="array" ref="W37">ROW() - ROW($2:$2)</f>
        <v>35</v>
      </c>
      <c r="X37" s="141" t="s">
        <v>113</v>
      </c>
      <c r="Y37" s="153" t="s">
        <v>147</v>
      </c>
      <c r="Z37" s="90" t="str">
        <f xml:space="preserve"> IFERROR( INDEX(表格1_334[字典編碼], MATCH($X37, 表格1_334[方音符號], 0)), "")</f>
        <v>M</v>
      </c>
      <c r="AA37" s="90" t="str">
        <f t="shared" si="9"/>
        <v>M</v>
      </c>
      <c r="AB37" s="257" t="str">
        <f xml:space="preserve"> IFERROR( INDEX(表格1_334[鍵盤按鍵], MATCH($X37, 表格1_334[方音符號], 0)), "")</f>
        <v>,</v>
      </c>
    </row>
    <row r="38" spans="5:29" ht="32.25">
      <c r="E38" s="161" cm="1">
        <f t="array" ref="E38" xml:space="preserve"> ROW() - ROW($2:$2)</f>
        <v>36</v>
      </c>
      <c r="F38" s="206" t="str">
        <f t="shared" si="1"/>
        <v>N</v>
      </c>
      <c r="G38" s="206" t="str">
        <f t="shared" si="2"/>
        <v>-</v>
      </c>
      <c r="I38" s="161">
        <v>36</v>
      </c>
      <c r="J38" s="176" t="str">
        <f t="shared" si="3"/>
        <v>-</v>
      </c>
      <c r="K38" s="176" t="str">
        <f t="shared" si="4"/>
        <v>ｎ</v>
      </c>
      <c r="M38" s="161">
        <v>36</v>
      </c>
      <c r="N38" s="175" t="str">
        <f t="shared" si="10"/>
        <v/>
      </c>
      <c r="O38" s="175" t="str">
        <f t="shared" si="11"/>
        <v/>
      </c>
      <c r="Q38" s="161">
        <v>36</v>
      </c>
      <c r="R38" s="164" t="str">
        <f t="shared" si="7"/>
        <v>-</v>
      </c>
      <c r="S38" s="178" t="str">
        <f t="shared" si="8"/>
        <v>N</v>
      </c>
      <c r="T38" s="231" t="str">
        <f xml:space="preserve"> IFERROR( INDEX($K$3:$K$44, MATCH(表格1_334[[#This Row],[鍵盤按鍵]], $J$3:$J$44,0)), "")</f>
        <v>ｎ</v>
      </c>
      <c r="W38" s="258" cm="1">
        <f t="array" ref="W38">ROW() - ROW($2:$2)</f>
        <v>36</v>
      </c>
      <c r="X38" s="143" t="s">
        <v>101</v>
      </c>
      <c r="Y38" s="268" t="s">
        <v>152</v>
      </c>
      <c r="Z38" s="95" t="str">
        <f xml:space="preserve"> IFERROR( INDEX(表格1_334[字典編碼], MATCH($X38, 表格1_334[方音符號], 0)), "")</f>
        <v>Y</v>
      </c>
      <c r="AA38" s="95" t="str">
        <f t="shared" si="9"/>
        <v>Y</v>
      </c>
      <c r="AB38" s="259" t="str">
        <f xml:space="preserve"> IFERROR( INDEX(表格1_334[鍵盤按鍵], MATCH($X38, 表格1_334[方音符號], 0)), "")</f>
        <v>.</v>
      </c>
    </row>
    <row r="39" spans="5:29" ht="32.25">
      <c r="E39" s="161" cm="1">
        <f t="array" ref="E39" xml:space="preserve"> ROW() - ROW($2:$2)</f>
        <v>37</v>
      </c>
      <c r="F39" s="206" t="str">
        <f t="shared" si="1"/>
        <v>1</v>
      </c>
      <c r="G39" s="206" t="str">
        <f t="shared" si="2"/>
        <v xml:space="preserve"> </v>
      </c>
      <c r="I39" s="161">
        <v>37</v>
      </c>
      <c r="J39" s="176" t="str">
        <f t="shared" si="3"/>
        <v>4</v>
      </c>
      <c r="K39" s="176" t="str">
        <f t="shared" si="4"/>
        <v>ˋ</v>
      </c>
      <c r="M39" s="161">
        <v>37</v>
      </c>
      <c r="N39" s="175" t="str">
        <f t="shared" si="10"/>
        <v/>
      </c>
      <c r="O39" s="175" t="str">
        <f t="shared" si="11"/>
        <v/>
      </c>
      <c r="Q39" s="161">
        <v>37</v>
      </c>
      <c r="R39" s="228" t="str">
        <f t="shared" si="7"/>
        <v xml:space="preserve"> </v>
      </c>
      <c r="S39" s="229" t="str">
        <f t="shared" si="8"/>
        <v>1</v>
      </c>
      <c r="T39" s="232" t="str">
        <f xml:space="preserve"> IFERROR( INDEX($K$3:$K$44, MATCH(表格1_334[[#This Row],[鍵盤按鍵]], $J$3:$J$44,0)), "")</f>
        <v/>
      </c>
      <c r="W39" s="252" cm="1">
        <f t="array" ref="W39">ROW() - ROW($2:$2)</f>
        <v>37</v>
      </c>
      <c r="X39" s="261" t="s">
        <v>614</v>
      </c>
      <c r="Y39" s="273">
        <v>1</v>
      </c>
      <c r="Z39" s="262">
        <v>1</v>
      </c>
      <c r="AA39" s="262">
        <f t="shared" si="9"/>
        <v>1</v>
      </c>
      <c r="AB39" s="263" t="s">
        <v>621</v>
      </c>
    </row>
    <row r="40" spans="5:29" ht="32.25">
      <c r="E40" s="161" cm="1">
        <f t="array" ref="E40" xml:space="preserve"> ROW() - ROW($2:$2)</f>
        <v>38</v>
      </c>
      <c r="F40" s="206" t="str">
        <f t="shared" si="1"/>
        <v>2</v>
      </c>
      <c r="G40" s="206" t="str">
        <f t="shared" si="2"/>
        <v>4</v>
      </c>
      <c r="I40" s="161">
        <v>38</v>
      </c>
      <c r="J40" s="176" t="str">
        <f t="shared" si="3"/>
        <v>3</v>
      </c>
      <c r="K40" s="176" t="str">
        <f t="shared" si="4"/>
        <v>˪</v>
      </c>
      <c r="M40" s="161">
        <v>38</v>
      </c>
      <c r="N40" s="175" t="str">
        <f t="shared" si="10"/>
        <v/>
      </c>
      <c r="O40" s="175" t="str">
        <f t="shared" si="11"/>
        <v/>
      </c>
      <c r="Q40" s="161">
        <v>38</v>
      </c>
      <c r="R40" s="164" t="str">
        <f t="shared" si="7"/>
        <v>4</v>
      </c>
      <c r="S40" s="178" t="str">
        <f t="shared" si="8"/>
        <v>2</v>
      </c>
      <c r="T40" s="231" t="str">
        <f xml:space="preserve"> IFERROR( INDEX($K$3:$K$44, MATCH(表格1_334[[#This Row],[鍵盤按鍵]], $J$3:$J$44,0)), "")</f>
        <v>ˋ</v>
      </c>
      <c r="W40" s="254" cm="1">
        <f t="array" ref="W40">ROW() - ROW($2:$2)</f>
        <v>38</v>
      </c>
      <c r="X40" s="142" t="s">
        <v>14</v>
      </c>
      <c r="Y40" s="267">
        <v>2</v>
      </c>
      <c r="Z40" s="93" t="str">
        <f xml:space="preserve"> IFERROR( INDEX(表格1_334[字典編碼], MATCH($X40, 表格1_334[方音符號], 0)), "")</f>
        <v>2</v>
      </c>
      <c r="AA40" s="93" t="str">
        <f t="shared" si="0"/>
        <v>2</v>
      </c>
      <c r="AB40" s="255" t="str">
        <f xml:space="preserve"> IFERROR( INDEX(表格1_334[鍵盤按鍵], MATCH($X40, 表格1_334[方音符號], 0)), "")</f>
        <v>4</v>
      </c>
    </row>
    <row r="41" spans="5:29" ht="32.25">
      <c r="E41" s="161" cm="1">
        <f t="array" ref="E41" xml:space="preserve"> ROW() - ROW($2:$2)</f>
        <v>39</v>
      </c>
      <c r="F41" s="206" t="str">
        <f t="shared" si="1"/>
        <v>3</v>
      </c>
      <c r="G41" s="206" t="str">
        <f t="shared" si="2"/>
        <v>3</v>
      </c>
      <c r="I41" s="161">
        <v>39</v>
      </c>
      <c r="J41" s="176" t="str">
        <f t="shared" si="3"/>
        <v>6</v>
      </c>
      <c r="K41" s="176" t="str">
        <f t="shared" si="4"/>
        <v>ˊ</v>
      </c>
      <c r="M41" s="161">
        <v>39</v>
      </c>
      <c r="N41" s="175" t="str">
        <f t="shared" si="10"/>
        <v/>
      </c>
      <c r="O41" s="175" t="str">
        <f t="shared" si="11"/>
        <v/>
      </c>
      <c r="Q41" s="161">
        <v>39</v>
      </c>
      <c r="R41" s="164" t="str">
        <f t="shared" si="7"/>
        <v>3</v>
      </c>
      <c r="S41" s="178" t="str">
        <f t="shared" si="8"/>
        <v>3</v>
      </c>
      <c r="T41" s="231" t="str">
        <f xml:space="preserve"> IFERROR( INDEX($K$3:$K$44, MATCH(表格1_334[[#This Row],[鍵盤按鍵]], $J$3:$J$44,0)), "")</f>
        <v>˪</v>
      </c>
      <c r="W41" s="256" cm="1">
        <f t="array" ref="W41">ROW() - ROW($2:$2)</f>
        <v>39</v>
      </c>
      <c r="X41" s="141" t="s">
        <v>12</v>
      </c>
      <c r="Y41" s="153">
        <v>3</v>
      </c>
      <c r="Z41" s="90" t="str">
        <f xml:space="preserve"> IFERROR( INDEX(表格1_334[字典編碼], MATCH($X41, 表格1_334[方音符號], 0)), "")</f>
        <v>3</v>
      </c>
      <c r="AA41" s="90" t="str">
        <f t="shared" si="0"/>
        <v>3</v>
      </c>
      <c r="AB41" s="257" t="str">
        <f xml:space="preserve"> IFERROR( INDEX(表格1_334[鍵盤按鍵], MATCH($X41, 表格1_334[方音符號], 0)), "")</f>
        <v>3</v>
      </c>
    </row>
    <row r="42" spans="5:29" ht="32.25">
      <c r="E42" s="161" cm="1">
        <f t="array" ref="E42" xml:space="preserve"> ROW() - ROW($2:$2)</f>
        <v>40</v>
      </c>
      <c r="F42" s="206" t="str">
        <f t="shared" si="1"/>
        <v>5</v>
      </c>
      <c r="G42" s="206" t="str">
        <f t="shared" si="2"/>
        <v>6</v>
      </c>
      <c r="I42" s="161">
        <v>40</v>
      </c>
      <c r="J42" s="176" t="str">
        <f t="shared" si="3"/>
        <v>5</v>
      </c>
      <c r="K42" s="176" t="str">
        <f t="shared" si="4"/>
        <v>˫</v>
      </c>
      <c r="M42" s="161">
        <v>40</v>
      </c>
      <c r="N42" s="175" t="str">
        <f t="shared" si="10"/>
        <v/>
      </c>
      <c r="O42" s="175" t="str">
        <f t="shared" si="11"/>
        <v/>
      </c>
      <c r="Q42" s="161">
        <v>40</v>
      </c>
      <c r="R42" s="164" t="str">
        <f t="shared" si="7"/>
        <v>6</v>
      </c>
      <c r="S42" s="178" t="str">
        <f t="shared" si="8"/>
        <v>5</v>
      </c>
      <c r="T42" s="231" t="str">
        <f xml:space="preserve"> IFERROR( INDEX($K$3:$K$44, MATCH(表格1_334[[#This Row],[鍵盤按鍵]], $J$3:$J$44,0)), "")</f>
        <v>ˊ</v>
      </c>
      <c r="W42" s="256" cm="1">
        <f t="array" ref="W42">ROW() - ROW($2:$2)</f>
        <v>40</v>
      </c>
      <c r="X42" s="141" t="s">
        <v>18</v>
      </c>
      <c r="Y42" s="153">
        <v>5</v>
      </c>
      <c r="Z42" s="90" t="str">
        <f xml:space="preserve"> IFERROR( INDEX(表格1_334[字典編碼], MATCH($X42, 表格1_334[方音符號], 0)), "")</f>
        <v>5</v>
      </c>
      <c r="AA42" s="90" t="str">
        <f t="shared" si="0"/>
        <v>5</v>
      </c>
      <c r="AB42" s="257" t="str">
        <f xml:space="preserve"> IFERROR( INDEX(表格1_334[鍵盤按鍵], MATCH($X42, 表格1_334[方音符號], 0)), "")</f>
        <v>6</v>
      </c>
    </row>
    <row r="43" spans="5:29" ht="32.25">
      <c r="E43" s="161" cm="1">
        <f t="array" ref="E43" xml:space="preserve"> ROW() - ROW($2:$2)</f>
        <v>41</v>
      </c>
      <c r="F43" s="206" t="str">
        <f t="shared" si="1"/>
        <v>7</v>
      </c>
      <c r="G43" s="206" t="str">
        <f t="shared" si="2"/>
        <v>5</v>
      </c>
      <c r="I43" s="161">
        <v>41</v>
      </c>
      <c r="J43" s="176" t="str">
        <f t="shared" si="3"/>
        <v>7</v>
      </c>
      <c r="K43" s="176" t="str">
        <f t="shared" si="4"/>
        <v>．</v>
      </c>
      <c r="M43" s="161">
        <v>41</v>
      </c>
      <c r="N43" s="175" t="str">
        <f t="shared" si="10"/>
        <v/>
      </c>
      <c r="O43" s="175" t="str">
        <f t="shared" si="11"/>
        <v/>
      </c>
      <c r="Q43" s="161">
        <v>41</v>
      </c>
      <c r="R43" s="164" t="str">
        <f t="shared" si="7"/>
        <v>5</v>
      </c>
      <c r="S43" s="178" t="str">
        <f t="shared" si="8"/>
        <v>7</v>
      </c>
      <c r="T43" s="231" t="str">
        <f xml:space="preserve"> IFERROR( INDEX($K$3:$K$44, MATCH(表格1_334[[#This Row],[鍵盤按鍵]], $J$3:$J$44,0)), "")</f>
        <v>˫</v>
      </c>
      <c r="W43" s="256" cm="1">
        <f t="array" ref="W43">ROW() - ROW($2:$2)</f>
        <v>41</v>
      </c>
      <c r="X43" s="141" t="s">
        <v>16</v>
      </c>
      <c r="Y43" s="153">
        <v>7</v>
      </c>
      <c r="Z43" s="90" t="str">
        <f xml:space="preserve"> IFERROR( INDEX(表格1_334[字典編碼], MATCH($X43, 表格1_334[方音符號], 0)), "")</f>
        <v>7</v>
      </c>
      <c r="AA43" s="90" t="str">
        <f t="shared" si="0"/>
        <v>7</v>
      </c>
      <c r="AB43" s="257" t="str">
        <f xml:space="preserve"> IFERROR( INDEX(表格1_334[鍵盤按鍵], MATCH($X43, 表格1_334[方音符號], 0)), "")</f>
        <v>5</v>
      </c>
      <c r="AC43" s="260"/>
    </row>
    <row r="44" spans="5:29" ht="32.25">
      <c r="E44" s="161" cm="1">
        <f t="array" ref="E44" xml:space="preserve"> ROW() - ROW($2:$2)</f>
        <v>42</v>
      </c>
      <c r="F44" s="206" t="str">
        <f t="shared" si="1"/>
        <v>0</v>
      </c>
      <c r="G44" s="206" t="str">
        <f t="shared" si="2"/>
        <v>7</v>
      </c>
      <c r="I44" s="161">
        <v>42</v>
      </c>
      <c r="J44" s="176" t="str">
        <f t="shared" si="3"/>
        <v/>
      </c>
      <c r="K44" s="176" t="str">
        <f t="shared" si="4"/>
        <v/>
      </c>
      <c r="M44" s="161">
        <v>42</v>
      </c>
      <c r="N44" s="175" t="str">
        <f t="shared" si="10"/>
        <v/>
      </c>
      <c r="O44" s="175" t="str">
        <f t="shared" si="11"/>
        <v/>
      </c>
      <c r="Q44" s="161">
        <v>42</v>
      </c>
      <c r="R44" s="164" t="str">
        <f t="shared" si="7"/>
        <v>7</v>
      </c>
      <c r="S44" s="178" t="str">
        <f t="shared" si="8"/>
        <v>0</v>
      </c>
      <c r="T44" s="231" t="str">
        <f xml:space="preserve"> IFERROR( INDEX($K$3:$K$44, MATCH(表格1_334[[#This Row],[鍵盤按鍵]], $J$3:$J$44,0)), "")</f>
        <v>．</v>
      </c>
      <c r="W44" s="258" cm="1">
        <f t="array" ref="W44">ROW() - ROW($2:$2)</f>
        <v>42</v>
      </c>
      <c r="X44" s="143" t="s">
        <v>123</v>
      </c>
      <c r="Y44" s="268">
        <v>8</v>
      </c>
      <c r="Z44" s="95">
        <v>0</v>
      </c>
      <c r="AA44" s="95">
        <f t="shared" si="0"/>
        <v>0</v>
      </c>
      <c r="AB44" s="259">
        <v>7</v>
      </c>
    </row>
    <row r="45" spans="5:29" ht="32.25">
      <c r="O45" s="161"/>
      <c r="W45" s="264" cm="1">
        <f t="array" ref="W45">ROW() - ROW($2:$2)</f>
        <v>43</v>
      </c>
      <c r="X45" s="144" t="s">
        <v>105</v>
      </c>
      <c r="Y45" s="269" t="s">
        <v>131</v>
      </c>
      <c r="Z45" s="97" t="str">
        <f xml:space="preserve"> IFERROR( INDEX(表格1_334[字典編碼], MATCH($X45, 表格1_334[方音符號], 0)), "")</f>
        <v/>
      </c>
      <c r="AA45" s="97"/>
      <c r="AB45" s="253" t="str">
        <f xml:space="preserve"> IFERROR( INDEX(表格1_334[鍵盤按鍵], MATCH($X45, 表格1_334[方音符號], 0)), "")</f>
        <v/>
      </c>
    </row>
    <row r="46" spans="5:29" ht="32.25">
      <c r="T46" s="234" t="str">
        <f xml:space="preserve"> _xlfn.CONCAT(S3:S38, S40:S44)</f>
        <v>pPmbtTndkKhjJSgqzcCsiuBaoøMIeUYLDQGN23570</v>
      </c>
      <c r="W46" s="254" cm="1">
        <f t="array" ref="W46">ROW() - ROW($2:$2)</f>
        <v>44</v>
      </c>
      <c r="X46" s="142" t="s">
        <v>116</v>
      </c>
      <c r="Y46" s="267" t="s">
        <v>155</v>
      </c>
      <c r="Z46" s="93" t="str">
        <f xml:space="preserve"> IFERROR( INDEX(表格1_334[字典編碼], MATCH($X46, 表格1_334[方音符號], 0)), "")</f>
        <v/>
      </c>
      <c r="AA46" s="93"/>
      <c r="AB46" s="255" t="str">
        <f xml:space="preserve"> IFERROR( INDEX(表格1_334[鍵盤按鍵], MATCH($X46, 表格1_334[方音符號], 0)), "")</f>
        <v/>
      </c>
    </row>
    <row r="47" spans="5:29" ht="32.25">
      <c r="T47" s="234" t="str">
        <f xml:space="preserve"> _xlfn.CONCAT(T3:T38, T40:T44)</f>
        <v>ㄅㄆㄇㆠㄉㄊㄋㄌㄍㄎㄏㄐㄑㄒㆣㄫㆡㄗㄘㄙㄧㄨㆬㄚㆦㄜㆰㄞㆤㄠㆲㄢㄣㄤㆭｎˋ˪ˊ˫．</v>
      </c>
      <c r="W47" s="256" cm="1">
        <f t="array" ref="W47">ROW() - ROW($2:$2)</f>
        <v>45</v>
      </c>
      <c r="X47" s="141" t="s">
        <v>117</v>
      </c>
      <c r="Y47" s="153" t="s">
        <v>157</v>
      </c>
      <c r="Z47" s="90" t="str">
        <f xml:space="preserve"> IFERROR( INDEX(表格1_334[字典編碼], MATCH($X47, 表格1_334[方音符號], 0)), "")</f>
        <v/>
      </c>
      <c r="AA47" s="90"/>
      <c r="AB47" s="257" t="str">
        <f xml:space="preserve"> IFERROR( INDEX(表格1_334[鍵盤按鍵], MATCH($X47, 表格1_334[方音符號], 0)), "")</f>
        <v/>
      </c>
    </row>
    <row r="48" spans="5:29" ht="32.25">
      <c r="R48" s="227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56" cm="1">
        <f t="array" ref="W48">ROW() - ROW($2:$2)</f>
        <v>46</v>
      </c>
      <c r="X48" s="141" t="s">
        <v>107</v>
      </c>
      <c r="Y48" s="153" t="s">
        <v>138</v>
      </c>
      <c r="Z48" s="90" t="str">
        <f xml:space="preserve"> IFERROR( INDEX(表格1_334[字典編碼], MATCH($X48, 表格1_334[方音符號], 0)), "")</f>
        <v/>
      </c>
      <c r="AA48" s="90"/>
      <c r="AB48" s="257" t="str">
        <f xml:space="preserve"> IFERROR( INDEX(表格1_334[鍵盤按鍵], MATCH($X48, 表格1_334[方音符號], 0)), "")</f>
        <v/>
      </c>
    </row>
    <row r="49" spans="23:28" ht="32.25">
      <c r="W49" s="256" cm="1">
        <f t="array" ref="W49">ROW() - ROW($2:$2)</f>
        <v>47</v>
      </c>
      <c r="X49" s="141" t="s">
        <v>111</v>
      </c>
      <c r="Y49" s="153" t="s">
        <v>144</v>
      </c>
      <c r="Z49" s="90" t="str">
        <f xml:space="preserve"> IFERROR( INDEX(表格1_334[字典編碼], MATCH($X49, 表格1_334[方音符號], 0)), "")</f>
        <v/>
      </c>
      <c r="AA49" s="90"/>
      <c r="AB49" s="257" t="str">
        <f xml:space="preserve"> IFERROR( INDEX(表格1_334[鍵盤按鍵], MATCH($X49, 表格1_334[方音符號], 0)), "")</f>
        <v/>
      </c>
    </row>
    <row r="50" spans="23:28" ht="32.25">
      <c r="W50" s="256" cm="1">
        <f t="array" ref="W50">ROW() - ROW($2:$2)</f>
        <v>48</v>
      </c>
      <c r="X50" s="141" t="s">
        <v>110</v>
      </c>
      <c r="Y50" s="153" t="s">
        <v>142</v>
      </c>
      <c r="Z50" s="90" t="str">
        <f xml:space="preserve"> IFERROR( INDEX(表格1_334[字典編碼], MATCH($X50, 表格1_334[方音符號], 0)), "")</f>
        <v/>
      </c>
      <c r="AA50" s="90"/>
      <c r="AB50" s="257" t="str">
        <f xml:space="preserve"> IFERROR( INDEX(表格1_334[鍵盤按鍵], MATCH($X50, 表格1_334[方音符號], 0)), "")</f>
        <v/>
      </c>
    </row>
    <row r="51" spans="23:28" ht="32.25">
      <c r="W51" s="258" cm="1">
        <f t="array" ref="W51">ROW() - ROW($2:$2)</f>
        <v>49</v>
      </c>
      <c r="X51" s="143" t="s">
        <v>108</v>
      </c>
      <c r="Y51" s="268" t="s">
        <v>140</v>
      </c>
      <c r="Z51" s="95" t="str">
        <f xml:space="preserve"> IFERROR( INDEX(表格1_334[字典編碼], MATCH($X51, 表格1_334[方音符號], 0)), "")</f>
        <v/>
      </c>
      <c r="AA51" s="95"/>
      <c r="AB51" s="259" t="str">
        <f xml:space="preserve"> IFERROR( INDEX(表格1_334[鍵盤按鍵], MATCH($X51, 表格1_334[方音符號], 0)), "")</f>
        <v/>
      </c>
    </row>
    <row r="52" spans="23:28" ht="32.25">
      <c r="W52" s="254" cm="1">
        <f t="array" ref="W52">ROW() - ROW($2:$2)</f>
        <v>50</v>
      </c>
      <c r="X52" s="142" t="s">
        <v>112</v>
      </c>
      <c r="Y52" s="267" t="s">
        <v>146</v>
      </c>
      <c r="Z52" s="93" t="str">
        <f xml:space="preserve"> IFERROR( INDEX(表格1_334[字典編碼], MATCH($X52, 表格1_334[方音符號], 0)), "")</f>
        <v/>
      </c>
      <c r="AA52" s="93"/>
      <c r="AB52" s="255" t="str">
        <f xml:space="preserve"> IFERROR( INDEX(表格1_334[鍵盤按鍵], MATCH($X52, 表格1_334[方音符號], 0)), "")</f>
        <v/>
      </c>
    </row>
    <row r="53" spans="23:28" ht="32.25">
      <c r="W53" s="258" cm="1">
        <f t="array" ref="W53">ROW() - ROW($2:$2)</f>
        <v>51</v>
      </c>
      <c r="X53" s="143" t="s">
        <v>114</v>
      </c>
      <c r="Y53" s="268" t="s">
        <v>148</v>
      </c>
      <c r="Z53" s="95" t="str">
        <f xml:space="preserve"> IFERROR( INDEX(表格1_334[字典編碼], MATCH($X53, 表格1_334[方音符號], 0)), "")</f>
        <v/>
      </c>
      <c r="AA53" s="95"/>
      <c r="AB53" s="259" t="str">
        <f xml:space="preserve"> IFERROR( INDEX(表格1_334[鍵盤按鍵], MATCH($X53, 表格1_334[方音符號], 0)), "")</f>
        <v/>
      </c>
    </row>
    <row r="54" spans="23:28" ht="32.25">
      <c r="W54" s="254" cm="1">
        <f t="array" ref="W54">ROW() - ROW($2:$2)</f>
        <v>52</v>
      </c>
      <c r="X54" s="142" t="s">
        <v>115</v>
      </c>
      <c r="Y54" s="270" t="s">
        <v>153</v>
      </c>
      <c r="Z54" s="93" t="str">
        <f xml:space="preserve"> IFERROR( INDEX(表格1_334[字典編碼], MATCH($X54, 表格1_334[方音符號], 0)), "")</f>
        <v/>
      </c>
      <c r="AA54" s="93"/>
      <c r="AB54" s="255" t="str">
        <f xml:space="preserve"> IFERROR( INDEX(表格1_334[鍵盤按鍵], MATCH($X54, 表格1_334[方音符號], 0)), "")</f>
        <v/>
      </c>
    </row>
    <row r="55" spans="23:28" ht="32.25">
      <c r="W55" s="256" cm="1">
        <f t="array" ref="W55">ROW() - ROW($2:$2)</f>
        <v>53</v>
      </c>
      <c r="X55" s="141" t="s">
        <v>119</v>
      </c>
      <c r="Y55" s="271" t="s">
        <v>615</v>
      </c>
      <c r="Z55" s="90" t="str">
        <f xml:space="preserve"> IFERROR( INDEX(表格1_334[字典編碼], MATCH($X55, 表格1_334[方音符號], 0)), "")</f>
        <v/>
      </c>
      <c r="AA55" s="90"/>
      <c r="AB55" s="257" t="str">
        <f xml:space="preserve"> IFERROR( INDEX(表格1_334[鍵盤按鍵], MATCH($X55, 表格1_334[方音符號], 0)), "")</f>
        <v/>
      </c>
    </row>
    <row r="56" spans="23:28" ht="32.25">
      <c r="W56" s="256" cm="1">
        <f t="array" ref="W56">ROW() - ROW($2:$2)</f>
        <v>54</v>
      </c>
      <c r="X56" s="141" t="s">
        <v>120</v>
      </c>
      <c r="Y56" s="271" t="s">
        <v>616</v>
      </c>
      <c r="Z56" s="90" t="str">
        <f xml:space="preserve"> IFERROR( INDEX(表格1_334[字典編碼], MATCH($X56, 表格1_334[方音符號], 0)), "")</f>
        <v/>
      </c>
      <c r="AA56" s="90"/>
      <c r="AB56" s="257" t="str">
        <f xml:space="preserve"> IFERROR( INDEX(表格1_334[鍵盤按鍵], MATCH($X56, 表格1_334[方音符號], 0)), "")</f>
        <v/>
      </c>
    </row>
    <row r="57" spans="23:28" ht="32.25">
      <c r="W57" s="256" cm="1">
        <f t="array" ref="W57">ROW() - ROW($2:$2)</f>
        <v>55</v>
      </c>
      <c r="X57" s="141" t="s">
        <v>121</v>
      </c>
      <c r="Y57" s="271" t="s">
        <v>617</v>
      </c>
      <c r="Z57" s="90" t="str">
        <f xml:space="preserve"> IFERROR( INDEX(表格1_334[字典編碼], MATCH($X57, 表格1_334[方音符號], 0)), "")</f>
        <v/>
      </c>
      <c r="AA57" s="90"/>
      <c r="AB57" s="257" t="str">
        <f xml:space="preserve"> IFERROR( INDEX(表格1_334[鍵盤按鍵], MATCH($X57, 表格1_334[方音符號], 0)), "")</f>
        <v/>
      </c>
    </row>
    <row r="58" spans="23:28" ht="32.25">
      <c r="W58" s="258" cm="1">
        <f t="array" ref="W58">ROW() - ROW($2:$2)</f>
        <v>56</v>
      </c>
      <c r="X58" s="143" t="s">
        <v>122</v>
      </c>
      <c r="Y58" s="272" t="s">
        <v>618</v>
      </c>
      <c r="Z58" s="95" t="str">
        <f xml:space="preserve"> IFERROR( INDEX(表格1_334[字典編碼], MATCH($X58, 表格1_334[方音符號], 0)), "")</f>
        <v/>
      </c>
      <c r="AA58" s="95"/>
      <c r="AB58" s="259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61" customWidth="1"/>
    <col min="2" max="2" width="4.59765625" style="161" bestFit="1" customWidth="1"/>
    <col min="3" max="3" width="6.5" style="161" customWidth="1"/>
    <col min="4" max="4" width="5.09765625" style="161" customWidth="1"/>
    <col min="5" max="5" width="4.69921875" style="161" customWidth="1" outlineLevel="1"/>
    <col min="6" max="7" width="10.09765625" style="163" customWidth="1" outlineLevel="1"/>
    <col min="8" max="8" width="5.09765625" style="161" customWidth="1"/>
    <col min="9" max="9" width="4.69921875" style="161" customWidth="1"/>
    <col min="10" max="10" width="10.09765625" style="162" customWidth="1"/>
    <col min="11" max="11" width="10.09765625" style="163" customWidth="1"/>
    <col min="12" max="12" width="5.09765625" style="161" customWidth="1"/>
    <col min="13" max="13" width="4.69921875" style="161" customWidth="1"/>
    <col min="14" max="14" width="10.09765625" style="161" customWidth="1"/>
    <col min="15" max="15" width="10.09765625" style="164" customWidth="1"/>
    <col min="16" max="16" width="8.796875" style="161"/>
    <col min="17" max="17" width="4.69921875" style="161" customWidth="1"/>
    <col min="18" max="21" width="9.796875" style="161" customWidth="1"/>
    <col min="22" max="22" width="9.796875" customWidth="1"/>
    <col min="23" max="23" width="11.796875" style="161" customWidth="1"/>
    <col min="24" max="26" width="10.3984375" style="161" customWidth="1"/>
    <col min="27" max="16384" width="8.796875" style="161"/>
  </cols>
  <sheetData>
    <row r="1" spans="1:24">
      <c r="A1" s="219" t="s">
        <v>524</v>
      </c>
      <c r="E1" s="219" t="s">
        <v>521</v>
      </c>
      <c r="I1" s="219" t="s">
        <v>523</v>
      </c>
      <c r="M1" s="219" t="s">
        <v>522</v>
      </c>
      <c r="Q1" s="220" t="s">
        <v>602</v>
      </c>
      <c r="V1" s="161"/>
    </row>
    <row r="2" spans="1:24" ht="25.5">
      <c r="A2" s="215" t="s">
        <v>599</v>
      </c>
      <c r="F2" s="165" t="s">
        <v>601</v>
      </c>
      <c r="G2" s="166" t="s">
        <v>527</v>
      </c>
      <c r="J2" s="165" t="s">
        <v>527</v>
      </c>
      <c r="K2" s="166" t="s">
        <v>528</v>
      </c>
      <c r="N2" s="165" t="s">
        <v>601</v>
      </c>
      <c r="O2" s="166" t="s">
        <v>529</v>
      </c>
      <c r="R2" s="169" t="s">
        <v>353</v>
      </c>
      <c r="S2" s="169" t="s">
        <v>603</v>
      </c>
      <c r="T2" s="169" t="s">
        <v>292</v>
      </c>
      <c r="V2" s="221" t="s">
        <v>292</v>
      </c>
      <c r="W2" s="221" t="s">
        <v>290</v>
      </c>
      <c r="X2" s="222" t="s">
        <v>279</v>
      </c>
    </row>
    <row r="3" spans="1:24">
      <c r="A3" s="161">
        <f xml:space="preserve"> SEARCH("|",$A$2,1)</f>
        <v>12</v>
      </c>
      <c r="E3" s="161" cm="1">
        <f t="array" ref="E3" xml:space="preserve"> ROW() - ROW($2:$2)</f>
        <v>1</v>
      </c>
      <c r="F3" s="172" t="str">
        <f xml:space="preserve"> IFERROR( MID($A$6, $E3, 1), "")</f>
        <v>b</v>
      </c>
      <c r="G3" s="173" t="str">
        <f xml:space="preserve"> IFERROR( MID($A$7, $E3, 1), "")</f>
        <v>1</v>
      </c>
      <c r="I3" s="161">
        <v>1</v>
      </c>
      <c r="J3" s="176" t="str">
        <f xml:space="preserve"> IFERROR( MID($A$15, $E3, 1), "")</f>
        <v>1</v>
      </c>
      <c r="K3" s="176" t="str">
        <f xml:space="preserve"> IFERROR( MID($A$16, $E3, 1), "")</f>
        <v>ㄅ</v>
      </c>
      <c r="M3" s="161">
        <v>1</v>
      </c>
      <c r="N3" s="175" t="str">
        <f xml:space="preserve"> IFERROR( MID($A$21, $E3, 1), "")</f>
        <v>b</v>
      </c>
      <c r="O3" s="175" t="str">
        <f xml:space="preserve"> IFERROR( MID($A$22, $E3, 1), "")</f>
        <v>ㄅ</v>
      </c>
      <c r="Q3" s="161">
        <v>1</v>
      </c>
      <c r="R3" s="164" t="str">
        <f>G3</f>
        <v>1</v>
      </c>
      <c r="S3" s="178" t="str">
        <f>F3</f>
        <v>b</v>
      </c>
      <c r="T3" s="164" t="str">
        <f xml:space="preserve"> INDEX($K$3:$K$44, MATCH(表格1_33[[#This Row],[鍵盤位置]], $J$3:$J$44,0))</f>
        <v>ㄅ</v>
      </c>
      <c r="V3" s="223" t="str">
        <f xml:space="preserve"> INDEX($K$3:$K$44, MATCH(表格1_33[[#This Row],[鍵盤位置]], $J$3:$J$44,0))</f>
        <v>ㄅ</v>
      </c>
      <c r="W3" s="224" t="s">
        <v>9</v>
      </c>
      <c r="X3" s="225" t="s">
        <v>310</v>
      </c>
    </row>
    <row r="4" spans="1:24">
      <c r="A4" s="161">
        <f xml:space="preserve"> SEARCH("|",$A$2,A3+1)</f>
        <v>55</v>
      </c>
      <c r="E4" s="161" cm="1">
        <f t="array" ref="E4" xml:space="preserve"> ROW() - ROW($2:$2)</f>
        <v>2</v>
      </c>
      <c r="F4" s="181" t="str">
        <f t="shared" ref="F4:F44" si="0" xml:space="preserve"> IFERROR( MID($A$6, $E4, 1), "")</f>
        <v>p</v>
      </c>
      <c r="G4" s="182" t="str">
        <f t="shared" ref="G4:G44" si="1" xml:space="preserve"> IFERROR( MID($A$7, $E4, 1), "")</f>
        <v>q</v>
      </c>
      <c r="I4" s="161">
        <v>2</v>
      </c>
      <c r="J4" s="176" t="str">
        <f t="shared" ref="J4:J44" si="2" xml:space="preserve"> IFERROR( MID($A$15, $E4, 1), "")</f>
        <v>q</v>
      </c>
      <c r="K4" s="176" t="str">
        <f t="shared" ref="K4:K44" si="3" xml:space="preserve"> IFERROR( MID($A$16, $E4, 1), "")</f>
        <v>ㄆ</v>
      </c>
      <c r="M4" s="161">
        <v>2</v>
      </c>
      <c r="N4" s="175" t="str">
        <f t="shared" ref="N4:N44" si="4" xml:space="preserve"> IFERROR( MID($A$21, $E4, 1), "")</f>
        <v>p</v>
      </c>
      <c r="O4" s="175" t="str">
        <f t="shared" ref="O4:O44" si="5" xml:space="preserve"> IFERROR( MID($A$22, $E4, 1), "")</f>
        <v>ㄆ</v>
      </c>
      <c r="Q4" s="161">
        <v>2</v>
      </c>
      <c r="R4" s="164" t="str">
        <f t="shared" ref="R4:R44" si="6">G4</f>
        <v>q</v>
      </c>
      <c r="S4" s="178" t="str">
        <f t="shared" ref="S4:S44" si="7">F4</f>
        <v>p</v>
      </c>
      <c r="T4" s="164" t="str">
        <f xml:space="preserve"> INDEX($K$3:$K$44, MATCH(表格1_33[[#This Row],[鍵盤位置]], $J$3:$J$44,0))</f>
        <v>ㄆ</v>
      </c>
      <c r="V4" s="223" t="str">
        <f xml:space="preserve"> INDEX($K$3:$K$44, MATCH(表格1_33[[#This Row],[鍵盤位置]], $J$3:$J$44,0))</f>
        <v>ㄆ</v>
      </c>
      <c r="W4" s="224" t="s">
        <v>38</v>
      </c>
      <c r="X4" s="225" t="s">
        <v>309</v>
      </c>
    </row>
    <row r="5" spans="1:24">
      <c r="A5" s="161">
        <f xml:space="preserve"> SEARCH("|",$A$2,A4+1)</f>
        <v>98</v>
      </c>
      <c r="E5" s="161" cm="1">
        <f t="array" ref="E5" xml:space="preserve"> ROW() - ROW($2:$2)</f>
        <v>3</v>
      </c>
      <c r="F5" s="181" t="str">
        <f t="shared" si="0"/>
        <v>m</v>
      </c>
      <c r="G5" s="182" t="str">
        <f t="shared" si="1"/>
        <v>a</v>
      </c>
      <c r="I5" s="161">
        <v>3</v>
      </c>
      <c r="J5" s="176" t="str">
        <f t="shared" si="2"/>
        <v>a</v>
      </c>
      <c r="K5" s="176" t="str">
        <f t="shared" si="3"/>
        <v>ㄇ</v>
      </c>
      <c r="M5" s="161">
        <v>3</v>
      </c>
      <c r="N5" s="175" t="str">
        <f t="shared" si="4"/>
        <v>m</v>
      </c>
      <c r="O5" s="175" t="str">
        <f t="shared" si="5"/>
        <v>ㄇ</v>
      </c>
      <c r="Q5" s="161">
        <v>3</v>
      </c>
      <c r="R5" s="164" t="str">
        <f t="shared" si="6"/>
        <v>a</v>
      </c>
      <c r="S5" s="178" t="str">
        <f t="shared" si="7"/>
        <v>m</v>
      </c>
      <c r="T5" s="164" t="str">
        <f xml:space="preserve"> INDEX($K$3:$K$44, MATCH(表格1_33[[#This Row],[鍵盤位置]], $J$3:$J$44,0))</f>
        <v>ㄇ</v>
      </c>
      <c r="V5" s="223" t="str">
        <f xml:space="preserve"> INDEX($K$3:$K$44, MATCH(表格1_33[[#This Row],[鍵盤位置]], $J$3:$J$44,0))</f>
        <v>ㄇ</v>
      </c>
      <c r="W5" s="224" t="s">
        <v>66</v>
      </c>
      <c r="X5" s="225" t="s">
        <v>307</v>
      </c>
    </row>
    <row r="6" spans="1:24">
      <c r="A6" s="216" t="str">
        <f xml:space="preserve"> MID($A$2,A3+1, A4-A3-1)</f>
        <v>bpmfdtnlgkhjqxZCSrzcsiuvaoeEAIOUMNKGR12345</v>
      </c>
      <c r="B6" s="217">
        <f xml:space="preserve"> LEN(A6)</f>
        <v>42</v>
      </c>
      <c r="E6" s="161" cm="1">
        <f t="array" ref="E6" xml:space="preserve"> ROW() - ROW($2:$2)</f>
        <v>4</v>
      </c>
      <c r="F6" s="186" t="str">
        <f t="shared" si="0"/>
        <v>f</v>
      </c>
      <c r="G6" s="187" t="str">
        <f t="shared" si="1"/>
        <v>z</v>
      </c>
      <c r="I6" s="161">
        <v>4</v>
      </c>
      <c r="J6" s="176" t="str">
        <f t="shared" si="2"/>
        <v>z</v>
      </c>
      <c r="K6" s="176" t="str">
        <f t="shared" si="3"/>
        <v>ㄈ</v>
      </c>
      <c r="M6" s="161">
        <v>4</v>
      </c>
      <c r="N6" s="175" t="str">
        <f t="shared" si="4"/>
        <v>f</v>
      </c>
      <c r="O6" s="175" t="str">
        <f t="shared" si="5"/>
        <v>ㄈ</v>
      </c>
      <c r="Q6" s="161">
        <v>4</v>
      </c>
      <c r="R6" s="164" t="str">
        <f t="shared" si="6"/>
        <v>z</v>
      </c>
      <c r="S6" s="178" t="str">
        <f t="shared" si="7"/>
        <v>f</v>
      </c>
      <c r="T6" s="164" t="str">
        <f xml:space="preserve"> INDEX($K$3:$K$44, MATCH(表格1_33[[#This Row],[鍵盤位置]], $J$3:$J$44,0))</f>
        <v>ㄈ</v>
      </c>
      <c r="V6" s="223" t="str">
        <f xml:space="preserve"> INDEX($K$3:$K$44, MATCH(表格1_33[[#This Row],[鍵盤位置]], $J$3:$J$44,0))</f>
        <v>ㄈ</v>
      </c>
      <c r="W6" s="224" t="s">
        <v>91</v>
      </c>
      <c r="X6" s="225" t="s">
        <v>308</v>
      </c>
    </row>
    <row r="7" spans="1:24">
      <c r="A7" s="216" t="str">
        <f xml:space="preserve"> MID($A$2,A4+1, A5-A4-1)</f>
        <v>1qaz2wsxedcrfv5tgbyhnujm8ik,9ol.0p;/- 6347</v>
      </c>
      <c r="B7" s="217">
        <f xml:space="preserve"> LEN(A7)</f>
        <v>42</v>
      </c>
      <c r="E7" s="161" cm="1">
        <f t="array" ref="E7" xml:space="preserve"> ROW() - ROW($2:$2)</f>
        <v>5</v>
      </c>
      <c r="F7" s="181" t="str">
        <f t="shared" si="0"/>
        <v>d</v>
      </c>
      <c r="G7" s="182" t="str">
        <f t="shared" si="1"/>
        <v>2</v>
      </c>
      <c r="I7" s="161">
        <v>5</v>
      </c>
      <c r="J7" s="176" t="str">
        <f t="shared" si="2"/>
        <v>2</v>
      </c>
      <c r="K7" s="176" t="str">
        <f t="shared" si="3"/>
        <v>ㄉ</v>
      </c>
      <c r="M7" s="161">
        <v>5</v>
      </c>
      <c r="N7" s="175" t="str">
        <f t="shared" si="4"/>
        <v>d</v>
      </c>
      <c r="O7" s="175" t="str">
        <f t="shared" si="5"/>
        <v>ㄉ</v>
      </c>
      <c r="Q7" s="161">
        <v>5</v>
      </c>
      <c r="R7" s="164" t="str">
        <f t="shared" si="6"/>
        <v>2</v>
      </c>
      <c r="S7" s="178" t="str">
        <f t="shared" si="7"/>
        <v>d</v>
      </c>
      <c r="T7" s="164" t="str">
        <f xml:space="preserve"> INDEX($K$3:$K$44, MATCH(表格1_33[[#This Row],[鍵盤位置]], $J$3:$J$44,0))</f>
        <v>ㄉ</v>
      </c>
      <c r="V7" s="223" t="str">
        <f xml:space="preserve"> INDEX($K$3:$K$44, MATCH(表格1_33[[#This Row],[鍵盤位置]], $J$3:$J$44,0))</f>
        <v>ㄉ</v>
      </c>
      <c r="W7" s="224" t="s">
        <v>11</v>
      </c>
      <c r="X7" s="225" t="s">
        <v>306</v>
      </c>
    </row>
    <row r="8" spans="1:24">
      <c r="E8" s="161" cm="1">
        <f t="array" ref="E8" xml:space="preserve"> ROW() - ROW($2:$2)</f>
        <v>6</v>
      </c>
      <c r="F8" s="181" t="str">
        <f t="shared" si="0"/>
        <v>t</v>
      </c>
      <c r="G8" s="182" t="str">
        <f t="shared" si="1"/>
        <v>w</v>
      </c>
      <c r="I8" s="161">
        <v>6</v>
      </c>
      <c r="J8" s="176" t="str">
        <f t="shared" si="2"/>
        <v>w</v>
      </c>
      <c r="K8" s="176" t="str">
        <f t="shared" si="3"/>
        <v>ㄊ</v>
      </c>
      <c r="M8" s="161">
        <v>6</v>
      </c>
      <c r="N8" s="175" t="str">
        <f t="shared" si="4"/>
        <v>t</v>
      </c>
      <c r="O8" s="175" t="str">
        <f t="shared" si="5"/>
        <v>ㄊ</v>
      </c>
      <c r="Q8" s="161">
        <v>6</v>
      </c>
      <c r="R8" s="164" t="str">
        <f t="shared" si="6"/>
        <v>w</v>
      </c>
      <c r="S8" s="178" t="str">
        <f t="shared" si="7"/>
        <v>t</v>
      </c>
      <c r="T8" s="164" t="str">
        <f xml:space="preserve"> INDEX($K$3:$K$44, MATCH(表格1_33[[#This Row],[鍵盤位置]], $J$3:$J$44,0))</f>
        <v>ㄊ</v>
      </c>
      <c r="V8" s="223" t="str">
        <f xml:space="preserve"> INDEX($K$3:$K$44, MATCH(表格1_33[[#This Row],[鍵盤位置]], $J$3:$J$44,0))</f>
        <v>ㄊ</v>
      </c>
      <c r="W8" s="224" t="s">
        <v>40</v>
      </c>
      <c r="X8" s="225" t="s">
        <v>305</v>
      </c>
    </row>
    <row r="9" spans="1:24">
      <c r="E9" s="161" cm="1">
        <f t="array" ref="E9" xml:space="preserve"> ROW() - ROW($2:$2)</f>
        <v>7</v>
      </c>
      <c r="F9" s="181" t="str">
        <f t="shared" si="0"/>
        <v>n</v>
      </c>
      <c r="G9" s="182" t="str">
        <f t="shared" si="1"/>
        <v>s</v>
      </c>
      <c r="I9" s="161">
        <v>7</v>
      </c>
      <c r="J9" s="176" t="str">
        <f t="shared" si="2"/>
        <v>s</v>
      </c>
      <c r="K9" s="176" t="str">
        <f t="shared" si="3"/>
        <v>ㄋ</v>
      </c>
      <c r="M9" s="161">
        <v>7</v>
      </c>
      <c r="N9" s="175" t="str">
        <f t="shared" si="4"/>
        <v>n</v>
      </c>
      <c r="O9" s="175" t="str">
        <f t="shared" si="5"/>
        <v>ㄋ</v>
      </c>
      <c r="Q9" s="161">
        <v>7</v>
      </c>
      <c r="R9" s="164" t="str">
        <f t="shared" si="6"/>
        <v>s</v>
      </c>
      <c r="S9" s="178" t="str">
        <f t="shared" si="7"/>
        <v>n</v>
      </c>
      <c r="T9" s="164" t="str">
        <f xml:space="preserve"> INDEX($K$3:$K$44, MATCH(表格1_33[[#This Row],[鍵盤位置]], $J$3:$J$44,0))</f>
        <v>ㄋ</v>
      </c>
      <c r="V9" s="223" t="str">
        <f xml:space="preserve"> INDEX($K$3:$K$44, MATCH(表格1_33[[#This Row],[鍵盤位置]], $J$3:$J$44,0))</f>
        <v>ㄋ</v>
      </c>
      <c r="W9" s="224" t="s">
        <v>68</v>
      </c>
      <c r="X9" s="225" t="s">
        <v>304</v>
      </c>
    </row>
    <row r="10" spans="1:24">
      <c r="A10" s="219" t="s">
        <v>523</v>
      </c>
      <c r="E10" s="161" cm="1">
        <f t="array" ref="E10" xml:space="preserve"> ROW() - ROW($2:$2)</f>
        <v>8</v>
      </c>
      <c r="F10" s="191" t="str">
        <f t="shared" si="0"/>
        <v>l</v>
      </c>
      <c r="G10" s="192" t="str">
        <f t="shared" si="1"/>
        <v>x</v>
      </c>
      <c r="I10" s="161">
        <v>8</v>
      </c>
      <c r="J10" s="176" t="str">
        <f t="shared" si="2"/>
        <v>x</v>
      </c>
      <c r="K10" s="176" t="str">
        <f t="shared" si="3"/>
        <v>ㄌ</v>
      </c>
      <c r="M10" s="161">
        <v>8</v>
      </c>
      <c r="N10" s="175" t="str">
        <f t="shared" si="4"/>
        <v>l</v>
      </c>
      <c r="O10" s="175" t="str">
        <f t="shared" si="5"/>
        <v>ㄌ</v>
      </c>
      <c r="Q10" s="161">
        <v>8</v>
      </c>
      <c r="R10" s="164" t="str">
        <f t="shared" si="6"/>
        <v>x</v>
      </c>
      <c r="S10" s="178" t="str">
        <f t="shared" si="7"/>
        <v>l</v>
      </c>
      <c r="T10" s="164" t="str">
        <f xml:space="preserve"> INDEX($K$3:$K$44, MATCH(表格1_33[[#This Row],[鍵盤位置]], $J$3:$J$44,0))</f>
        <v>ㄌ</v>
      </c>
      <c r="V10" s="223" t="str">
        <f xml:space="preserve"> INDEX($K$3:$K$44, MATCH(表格1_33[[#This Row],[鍵盤位置]], $J$3:$J$44,0))</f>
        <v>ㄌ</v>
      </c>
      <c r="W10" s="224" t="s">
        <v>93</v>
      </c>
      <c r="X10" s="225" t="s">
        <v>303</v>
      </c>
    </row>
    <row r="11" spans="1:24">
      <c r="A11" s="218" t="s">
        <v>600</v>
      </c>
      <c r="E11" s="161" cm="1">
        <f t="array" ref="E11" xml:space="preserve"> ROW() - ROW($2:$2)</f>
        <v>9</v>
      </c>
      <c r="F11" s="172" t="str">
        <f t="shared" si="0"/>
        <v>g</v>
      </c>
      <c r="G11" s="173" t="str">
        <f t="shared" si="1"/>
        <v>e</v>
      </c>
      <c r="I11" s="161">
        <v>9</v>
      </c>
      <c r="J11" s="176" t="str">
        <f t="shared" si="2"/>
        <v>e</v>
      </c>
      <c r="K11" s="176" t="str">
        <f t="shared" si="3"/>
        <v>ㄍ</v>
      </c>
      <c r="M11" s="161">
        <v>9</v>
      </c>
      <c r="N11" s="175" t="str">
        <f t="shared" si="4"/>
        <v>g</v>
      </c>
      <c r="O11" s="175" t="str">
        <f t="shared" si="5"/>
        <v>ㄍ</v>
      </c>
      <c r="Q11" s="161">
        <v>9</v>
      </c>
      <c r="R11" s="164" t="str">
        <f t="shared" si="6"/>
        <v>e</v>
      </c>
      <c r="S11" s="178" t="str">
        <f t="shared" si="7"/>
        <v>g</v>
      </c>
      <c r="T11" s="164" t="str">
        <f xml:space="preserve"> INDEX($K$3:$K$44, MATCH(表格1_33[[#This Row],[鍵盤位置]], $J$3:$J$44,0))</f>
        <v>ㄍ</v>
      </c>
      <c r="V11" s="223" t="str">
        <f xml:space="preserve"> INDEX($K$3:$K$44, MATCH(表格1_33[[#This Row],[鍵盤位置]], $J$3:$J$44,0))</f>
        <v>ㄍ</v>
      </c>
      <c r="W11" s="224" t="s">
        <v>42</v>
      </c>
      <c r="X11" s="225" t="s">
        <v>302</v>
      </c>
    </row>
    <row r="12" spans="1:24">
      <c r="A12" s="161">
        <f xml:space="preserve"> SEARCH("|",$A$11,1)</f>
        <v>8</v>
      </c>
      <c r="E12" s="161" cm="1">
        <f t="array" ref="E12" xml:space="preserve"> ROW() - ROW($2:$2)</f>
        <v>10</v>
      </c>
      <c r="F12" s="181" t="str">
        <f t="shared" si="0"/>
        <v>k</v>
      </c>
      <c r="G12" s="182" t="str">
        <f t="shared" si="1"/>
        <v>d</v>
      </c>
      <c r="I12" s="161">
        <v>10</v>
      </c>
      <c r="J12" s="176" t="str">
        <f t="shared" si="2"/>
        <v>d</v>
      </c>
      <c r="K12" s="176" t="str">
        <f t="shared" si="3"/>
        <v>ㄎ</v>
      </c>
      <c r="M12" s="161">
        <v>10</v>
      </c>
      <c r="N12" s="175" t="str">
        <f t="shared" si="4"/>
        <v>k</v>
      </c>
      <c r="O12" s="175" t="str">
        <f t="shared" si="5"/>
        <v>ㄎ</v>
      </c>
      <c r="Q12" s="161">
        <v>10</v>
      </c>
      <c r="R12" s="164" t="str">
        <f t="shared" si="6"/>
        <v>d</v>
      </c>
      <c r="S12" s="178" t="str">
        <f t="shared" si="7"/>
        <v>k</v>
      </c>
      <c r="T12" s="164" t="str">
        <f xml:space="preserve"> INDEX($K$3:$K$44, MATCH(表格1_33[[#This Row],[鍵盤位置]], $J$3:$J$44,0))</f>
        <v>ㄎ</v>
      </c>
      <c r="V12" s="223" t="str">
        <f xml:space="preserve"> INDEX($K$3:$K$44, MATCH(表格1_33[[#This Row],[鍵盤位置]], $J$3:$J$44,0))</f>
        <v>ㄎ</v>
      </c>
      <c r="W12" s="224" t="s">
        <v>70</v>
      </c>
      <c r="X12" s="225" t="s">
        <v>301</v>
      </c>
    </row>
    <row r="13" spans="1:24">
      <c r="A13" s="161">
        <f xml:space="preserve"> SEARCH("|",$A$11,A12+1)</f>
        <v>52</v>
      </c>
      <c r="E13" s="161" cm="1">
        <f t="array" ref="E13" xml:space="preserve"> ROW() - ROW($2:$2)</f>
        <v>11</v>
      </c>
      <c r="F13" s="191" t="str">
        <f t="shared" si="0"/>
        <v>h</v>
      </c>
      <c r="G13" s="192" t="str">
        <f t="shared" si="1"/>
        <v>c</v>
      </c>
      <c r="I13" s="161">
        <v>11</v>
      </c>
      <c r="J13" s="176" t="str">
        <f t="shared" si="2"/>
        <v>c</v>
      </c>
      <c r="K13" s="176" t="str">
        <f t="shared" si="3"/>
        <v>ㄏ</v>
      </c>
      <c r="M13" s="161">
        <v>11</v>
      </c>
      <c r="N13" s="175" t="str">
        <f t="shared" si="4"/>
        <v>h</v>
      </c>
      <c r="O13" s="175" t="str">
        <f t="shared" si="5"/>
        <v>ㄏ</v>
      </c>
      <c r="Q13" s="161">
        <v>11</v>
      </c>
      <c r="R13" s="164" t="str">
        <f t="shared" si="6"/>
        <v>c</v>
      </c>
      <c r="S13" s="178" t="str">
        <f t="shared" si="7"/>
        <v>h</v>
      </c>
      <c r="T13" s="164" t="str">
        <f xml:space="preserve"> INDEX($K$3:$K$44, MATCH(表格1_33[[#This Row],[鍵盤位置]], $J$3:$J$44,0))</f>
        <v>ㄏ</v>
      </c>
      <c r="V13" s="223" t="str">
        <f xml:space="preserve"> INDEX($K$3:$K$44, MATCH(表格1_33[[#This Row],[鍵盤位置]], $J$3:$J$44,0))</f>
        <v>ㄏ</v>
      </c>
      <c r="W13" s="224" t="s">
        <v>95</v>
      </c>
      <c r="X13" s="225" t="s">
        <v>298</v>
      </c>
    </row>
    <row r="14" spans="1:24">
      <c r="A14" s="161">
        <f xml:space="preserve"> SEARCH("|",$A$11,A13+1)</f>
        <v>96</v>
      </c>
      <c r="E14" s="161" cm="1">
        <f t="array" ref="E14" xml:space="preserve"> ROW() - ROW($2:$2)</f>
        <v>12</v>
      </c>
      <c r="F14" s="172" t="str">
        <f t="shared" si="0"/>
        <v>j</v>
      </c>
      <c r="G14" s="173" t="str">
        <f t="shared" si="1"/>
        <v>r</v>
      </c>
      <c r="I14" s="161">
        <v>12</v>
      </c>
      <c r="J14" s="176" t="str">
        <f t="shared" si="2"/>
        <v>r</v>
      </c>
      <c r="K14" s="176" t="str">
        <f t="shared" si="3"/>
        <v>ㄐ</v>
      </c>
      <c r="M14" s="161">
        <v>12</v>
      </c>
      <c r="N14" s="175" t="str">
        <f t="shared" si="4"/>
        <v>j</v>
      </c>
      <c r="O14" s="175" t="str">
        <f t="shared" si="5"/>
        <v>ㄐ</v>
      </c>
      <c r="Q14" s="161">
        <v>12</v>
      </c>
      <c r="R14" s="164" t="str">
        <f t="shared" si="6"/>
        <v>r</v>
      </c>
      <c r="S14" s="178" t="str">
        <f t="shared" si="7"/>
        <v>j</v>
      </c>
      <c r="T14" s="164" t="str">
        <f xml:space="preserve"> INDEX($K$3:$K$44, MATCH(表格1_33[[#This Row],[鍵盤位置]], $J$3:$J$44,0))</f>
        <v>ㄐ</v>
      </c>
      <c r="V14" s="223" t="str">
        <f xml:space="preserve"> INDEX($K$3:$K$44, MATCH(表格1_33[[#This Row],[鍵盤位置]], $J$3:$J$44,0))</f>
        <v>ㄐ</v>
      </c>
      <c r="W14" s="224" t="s">
        <v>548</v>
      </c>
      <c r="X14" s="225" t="s">
        <v>550</v>
      </c>
    </row>
    <row r="15" spans="1:24">
      <c r="A15" s="216" t="str">
        <f xml:space="preserve"> MID($A$11,A12+1, A13-A12-1)</f>
        <v>1qaz2wsxedcrfv5tgbyhnujm8ik,9ol.0p;/- 6347'</v>
      </c>
      <c r="B15" s="217">
        <f xml:space="preserve"> LEN(A15)</f>
        <v>43</v>
      </c>
      <c r="E15" s="161" cm="1">
        <f t="array" ref="E15" xml:space="preserve"> ROW() - ROW($2:$2)</f>
        <v>13</v>
      </c>
      <c r="F15" s="181" t="str">
        <f t="shared" si="0"/>
        <v>q</v>
      </c>
      <c r="G15" s="182" t="str">
        <f t="shared" si="1"/>
        <v>f</v>
      </c>
      <c r="I15" s="161">
        <v>13</v>
      </c>
      <c r="J15" s="176" t="str">
        <f t="shared" si="2"/>
        <v>f</v>
      </c>
      <c r="K15" s="176" t="str">
        <f t="shared" si="3"/>
        <v>ㄑ</v>
      </c>
      <c r="M15" s="161">
        <v>13</v>
      </c>
      <c r="N15" s="175" t="str">
        <f t="shared" si="4"/>
        <v>q</v>
      </c>
      <c r="O15" s="175" t="str">
        <f t="shared" si="5"/>
        <v>ㄑ</v>
      </c>
      <c r="Q15" s="161">
        <v>13</v>
      </c>
      <c r="R15" s="164" t="str">
        <f t="shared" si="6"/>
        <v>f</v>
      </c>
      <c r="S15" s="178" t="str">
        <f t="shared" si="7"/>
        <v>q</v>
      </c>
      <c r="T15" s="164" t="str">
        <f xml:space="preserve"> INDEX($K$3:$K$44, MATCH(表格1_33[[#This Row],[鍵盤位置]], $J$3:$J$44,0))</f>
        <v>ㄑ</v>
      </c>
      <c r="V15" s="223" t="str">
        <f xml:space="preserve"> INDEX($K$3:$K$44, MATCH(表格1_33[[#This Row],[鍵盤位置]], $J$3:$J$44,0))</f>
        <v>ㄑ</v>
      </c>
      <c r="W15" s="224" t="s">
        <v>552</v>
      </c>
      <c r="X15" s="225" t="s">
        <v>554</v>
      </c>
    </row>
    <row r="16" spans="1:24">
      <c r="A16" s="216" t="str">
        <f xml:space="preserve"> MID($A$11,A13+1, A14-A13-1)</f>
        <v xml:space="preserve">ㄅㄆㄇㄈㄉㄊㄋㄌㄍㄎㄏㄐㄑㄒㄓㄔㄕㄖㄗㄘㄙㄧㄨㄩㄚㄛㄜㄝㄞㄟㄠㄡㄢㄣㄤㄥㄦˉˊˇˋ˙ </v>
      </c>
      <c r="B16" s="217">
        <f xml:space="preserve"> LEN(A16)</f>
        <v>43</v>
      </c>
      <c r="E16" s="161" cm="1">
        <f t="array" ref="E16" xml:space="preserve"> ROW() - ROW($2:$2)</f>
        <v>14</v>
      </c>
      <c r="F16" s="186" t="str">
        <f t="shared" si="0"/>
        <v>x</v>
      </c>
      <c r="G16" s="187" t="str">
        <f t="shared" si="1"/>
        <v>v</v>
      </c>
      <c r="I16" s="161">
        <v>14</v>
      </c>
      <c r="J16" s="176" t="str">
        <f t="shared" si="2"/>
        <v>v</v>
      </c>
      <c r="K16" s="176" t="str">
        <f t="shared" si="3"/>
        <v>ㄒ</v>
      </c>
      <c r="M16" s="161">
        <v>14</v>
      </c>
      <c r="N16" s="175" t="str">
        <f t="shared" si="4"/>
        <v>x</v>
      </c>
      <c r="O16" s="175" t="str">
        <f t="shared" si="5"/>
        <v>ㄒ</v>
      </c>
      <c r="Q16" s="161">
        <v>14</v>
      </c>
      <c r="R16" s="164" t="str">
        <f t="shared" si="6"/>
        <v>v</v>
      </c>
      <c r="S16" s="178" t="str">
        <f t="shared" si="7"/>
        <v>x</v>
      </c>
      <c r="T16" s="164" t="str">
        <f xml:space="preserve"> INDEX($K$3:$K$44, MATCH(表格1_33[[#This Row],[鍵盤位置]], $J$3:$J$44,0))</f>
        <v>ㄒ</v>
      </c>
      <c r="V16" s="223" t="str">
        <f xml:space="preserve"> INDEX($K$3:$K$44, MATCH(表格1_33[[#This Row],[鍵盤位置]], $J$3:$J$44,0))</f>
        <v>ㄒ</v>
      </c>
      <c r="W16" s="224" t="s">
        <v>556</v>
      </c>
      <c r="X16" s="225" t="s">
        <v>557</v>
      </c>
    </row>
    <row r="17" spans="1:24">
      <c r="E17" s="161" cm="1">
        <f t="array" ref="E17" xml:space="preserve"> ROW() - ROW($2:$2)</f>
        <v>15</v>
      </c>
      <c r="F17" s="172" t="str">
        <f t="shared" si="0"/>
        <v>Z</v>
      </c>
      <c r="G17" s="173" t="str">
        <f t="shared" si="1"/>
        <v>5</v>
      </c>
      <c r="I17" s="161">
        <v>15</v>
      </c>
      <c r="J17" s="176" t="str">
        <f t="shared" si="2"/>
        <v>5</v>
      </c>
      <c r="K17" s="176" t="str">
        <f t="shared" si="3"/>
        <v>ㄓ</v>
      </c>
      <c r="M17" s="161">
        <v>15</v>
      </c>
      <c r="N17" s="175" t="str">
        <f t="shared" si="4"/>
        <v>Z</v>
      </c>
      <c r="O17" s="175" t="str">
        <f t="shared" si="5"/>
        <v>ㄓ</v>
      </c>
      <c r="Q17" s="161">
        <v>15</v>
      </c>
      <c r="R17" s="164" t="str">
        <f t="shared" si="6"/>
        <v>5</v>
      </c>
      <c r="S17" s="178" t="str">
        <f t="shared" si="7"/>
        <v>Z</v>
      </c>
      <c r="T17" s="164" t="str">
        <f xml:space="preserve"> INDEX($K$3:$K$44, MATCH(表格1_33[[#This Row],[鍵盤位置]], $J$3:$J$44,0))</f>
        <v>ㄓ</v>
      </c>
      <c r="V17" s="223" t="str">
        <f xml:space="preserve"> INDEX($K$3:$K$44, MATCH(表格1_33[[#This Row],[鍵盤位置]], $J$3:$J$44,0))</f>
        <v>ㄓ</v>
      </c>
      <c r="W17" s="224" t="s">
        <v>45</v>
      </c>
      <c r="X17" s="225" t="s">
        <v>300</v>
      </c>
    </row>
    <row r="18" spans="1:24">
      <c r="E18" s="161" cm="1">
        <f t="array" ref="E18" xml:space="preserve"> ROW() - ROW($2:$2)</f>
        <v>16</v>
      </c>
      <c r="F18" s="181" t="str">
        <f t="shared" si="0"/>
        <v>C</v>
      </c>
      <c r="G18" s="182" t="str">
        <f t="shared" si="1"/>
        <v>t</v>
      </c>
      <c r="I18" s="161">
        <v>16</v>
      </c>
      <c r="J18" s="176" t="str">
        <f t="shared" si="2"/>
        <v>t</v>
      </c>
      <c r="K18" s="176" t="str">
        <f t="shared" si="3"/>
        <v>ㄔ</v>
      </c>
      <c r="M18" s="161">
        <v>16</v>
      </c>
      <c r="N18" s="175" t="str">
        <f t="shared" si="4"/>
        <v>C</v>
      </c>
      <c r="O18" s="175" t="str">
        <f t="shared" si="5"/>
        <v>ㄔ</v>
      </c>
      <c r="Q18" s="161">
        <v>16</v>
      </c>
      <c r="R18" s="164" t="str">
        <f t="shared" si="6"/>
        <v>t</v>
      </c>
      <c r="S18" s="178" t="str">
        <f t="shared" si="7"/>
        <v>C</v>
      </c>
      <c r="T18" s="164" t="str">
        <f xml:space="preserve"> INDEX($K$3:$K$44, MATCH(表格1_33[[#This Row],[鍵盤位置]], $J$3:$J$44,0))</f>
        <v>ㄔ</v>
      </c>
      <c r="V18" s="223" t="str">
        <f xml:space="preserve"> INDEX($K$3:$K$44, MATCH(表格1_33[[#This Row],[鍵盤位置]], $J$3:$J$44,0))</f>
        <v>ㄔ</v>
      </c>
      <c r="W18" s="224" t="s">
        <v>73</v>
      </c>
      <c r="X18" s="225" t="s">
        <v>299</v>
      </c>
    </row>
    <row r="19" spans="1:24">
      <c r="E19" s="161" cm="1">
        <f t="array" ref="E19" xml:space="preserve"> ROW() - ROW($2:$2)</f>
        <v>17</v>
      </c>
      <c r="F19" s="186" t="str">
        <f t="shared" si="0"/>
        <v>S</v>
      </c>
      <c r="G19" s="187" t="str">
        <f t="shared" si="1"/>
        <v>g</v>
      </c>
      <c r="I19" s="161">
        <v>17</v>
      </c>
      <c r="J19" s="176" t="str">
        <f t="shared" si="2"/>
        <v>g</v>
      </c>
      <c r="K19" s="176" t="str">
        <f t="shared" si="3"/>
        <v>ㄕ</v>
      </c>
      <c r="M19" s="161">
        <v>17</v>
      </c>
      <c r="N19" s="175" t="str">
        <f t="shared" si="4"/>
        <v>S</v>
      </c>
      <c r="O19" s="175" t="str">
        <f t="shared" si="5"/>
        <v>ㄕ</v>
      </c>
      <c r="Q19" s="161">
        <v>17</v>
      </c>
      <c r="R19" s="164" t="str">
        <f t="shared" si="6"/>
        <v>g</v>
      </c>
      <c r="S19" s="178" t="str">
        <f t="shared" si="7"/>
        <v>S</v>
      </c>
      <c r="T19" s="164" t="str">
        <f xml:space="preserve"> INDEX($K$3:$K$44, MATCH(表格1_33[[#This Row],[鍵盤位置]], $J$3:$J$44,0))</f>
        <v>ㄕ</v>
      </c>
      <c r="V19" s="223" t="str">
        <f xml:space="preserve"> INDEX($K$3:$K$44, MATCH(表格1_33[[#This Row],[鍵盤位置]], $J$3:$J$44,0))</f>
        <v>ㄕ</v>
      </c>
      <c r="W19" s="224" t="s">
        <v>211</v>
      </c>
      <c r="X19" s="225" t="s">
        <v>563</v>
      </c>
    </row>
    <row r="20" spans="1:24">
      <c r="A20" s="219" t="s">
        <v>535</v>
      </c>
      <c r="E20" s="161" cm="1">
        <f t="array" ref="E20" xml:space="preserve"> ROW() - ROW($2:$2)</f>
        <v>18</v>
      </c>
      <c r="F20" s="197" t="str">
        <f t="shared" si="0"/>
        <v>r</v>
      </c>
      <c r="G20" s="198" t="str">
        <f t="shared" si="1"/>
        <v>b</v>
      </c>
      <c r="I20" s="161">
        <v>18</v>
      </c>
      <c r="J20" s="176" t="str">
        <f t="shared" si="2"/>
        <v>b</v>
      </c>
      <c r="K20" s="176" t="str">
        <f t="shared" si="3"/>
        <v>ㄖ</v>
      </c>
      <c r="M20" s="161">
        <v>18</v>
      </c>
      <c r="N20" s="175" t="str">
        <f t="shared" si="4"/>
        <v>r</v>
      </c>
      <c r="O20" s="175" t="str">
        <f t="shared" si="5"/>
        <v>ㄖ</v>
      </c>
      <c r="Q20" s="161">
        <v>18</v>
      </c>
      <c r="R20" s="164" t="str">
        <f t="shared" si="6"/>
        <v>b</v>
      </c>
      <c r="S20" s="178" t="str">
        <f t="shared" si="7"/>
        <v>r</v>
      </c>
      <c r="T20" s="164" t="str">
        <f xml:space="preserve"> INDEX($K$3:$K$44, MATCH(表格1_33[[#This Row],[鍵盤位置]], $J$3:$J$44,0))</f>
        <v>ㄖ</v>
      </c>
      <c r="V20" s="223" t="str">
        <f xml:space="preserve"> INDEX($K$3:$K$44, MATCH(表格1_33[[#This Row],[鍵盤位置]], $J$3:$J$44,0))</f>
        <v>ㄖ</v>
      </c>
      <c r="W20" s="224" t="s">
        <v>211</v>
      </c>
      <c r="X20" s="225" t="s">
        <v>295</v>
      </c>
    </row>
    <row r="21" spans="1:24">
      <c r="A21" s="170" t="str">
        <f>A6</f>
        <v>bpmfdtnlgkhjqxZCSrzcsiuvaoeEAIOUMNKGR12345</v>
      </c>
      <c r="B21" s="161">
        <f xml:space="preserve"> LEN(A21)</f>
        <v>42</v>
      </c>
      <c r="E21" s="161" cm="1">
        <f t="array" ref="E21" xml:space="preserve"> ROW() - ROW($2:$2)</f>
        <v>19</v>
      </c>
      <c r="F21" s="202" t="str">
        <f t="shared" si="0"/>
        <v>z</v>
      </c>
      <c r="G21" s="203" t="str">
        <f t="shared" si="1"/>
        <v>y</v>
      </c>
      <c r="I21" s="161">
        <v>19</v>
      </c>
      <c r="J21" s="176" t="str">
        <f t="shared" si="2"/>
        <v>y</v>
      </c>
      <c r="K21" s="176" t="str">
        <f t="shared" si="3"/>
        <v>ㄗ</v>
      </c>
      <c r="M21" s="161">
        <v>19</v>
      </c>
      <c r="N21" s="175" t="str">
        <f t="shared" si="4"/>
        <v>z</v>
      </c>
      <c r="O21" s="175" t="str">
        <f t="shared" si="5"/>
        <v>ㄗ</v>
      </c>
      <c r="Q21" s="161">
        <v>19</v>
      </c>
      <c r="R21" s="164" t="str">
        <f t="shared" si="6"/>
        <v>y</v>
      </c>
      <c r="S21" s="178" t="str">
        <f t="shared" si="7"/>
        <v>z</v>
      </c>
      <c r="T21" s="164" t="str">
        <f xml:space="preserve"> INDEX($K$3:$K$44, MATCH(表格1_33[[#This Row],[鍵盤位置]], $J$3:$J$44,0))</f>
        <v>ㄗ</v>
      </c>
      <c r="V21" s="223" t="str">
        <f xml:space="preserve"> INDEX($K$3:$K$44, MATCH(表格1_33[[#This Row],[鍵盤位置]], $J$3:$J$44,0))</f>
        <v>ㄗ</v>
      </c>
      <c r="W21" s="224" t="s">
        <v>546</v>
      </c>
      <c r="X21" s="225" t="s">
        <v>297</v>
      </c>
    </row>
    <row r="22" spans="1:24">
      <c r="A22" s="170" t="str">
        <f>A16</f>
        <v xml:space="preserve">ㄅㄆㄇㄈㄉㄊㄋㄌㄍㄎㄏㄐㄑㄒㄓㄔㄕㄖㄗㄘㄙㄧㄨㄩㄚㄛㄜㄝㄞㄟㄠㄡㄢㄣㄤㄥㄦˉˊˇˋ˙ </v>
      </c>
      <c r="B22" s="161">
        <f xml:space="preserve"> LEN(A22)</f>
        <v>43</v>
      </c>
      <c r="E22" s="161" cm="1">
        <f t="array" ref="E22" xml:space="preserve"> ROW() - ROW($2:$2)</f>
        <v>20</v>
      </c>
      <c r="F22" s="186" t="str">
        <f t="shared" si="0"/>
        <v>c</v>
      </c>
      <c r="G22" s="187" t="str">
        <f t="shared" si="1"/>
        <v>h</v>
      </c>
      <c r="I22" s="161">
        <v>20</v>
      </c>
      <c r="J22" s="176" t="str">
        <f t="shared" si="2"/>
        <v>h</v>
      </c>
      <c r="K22" s="176" t="str">
        <f t="shared" si="3"/>
        <v>ㄘ</v>
      </c>
      <c r="M22" s="161">
        <v>20</v>
      </c>
      <c r="N22" s="175" t="str">
        <f t="shared" si="4"/>
        <v>c</v>
      </c>
      <c r="O22" s="175" t="str">
        <f t="shared" si="5"/>
        <v>ㄘ</v>
      </c>
      <c r="Q22" s="161">
        <v>20</v>
      </c>
      <c r="R22" s="164" t="str">
        <f t="shared" si="6"/>
        <v>h</v>
      </c>
      <c r="S22" s="178" t="str">
        <f t="shared" si="7"/>
        <v>c</v>
      </c>
      <c r="T22" s="164" t="str">
        <f xml:space="preserve"> INDEX($K$3:$K$44, MATCH(表格1_33[[#This Row],[鍵盤位置]], $J$3:$J$44,0))</f>
        <v>ㄘ</v>
      </c>
      <c r="V22" s="223" t="str">
        <f xml:space="preserve"> INDEX($K$3:$K$44, MATCH(表格1_33[[#This Row],[鍵盤位置]], $J$3:$J$44,0))</f>
        <v>ㄘ</v>
      </c>
      <c r="W22" s="224" t="s">
        <v>566</v>
      </c>
      <c r="X22" s="225" t="s">
        <v>296</v>
      </c>
    </row>
    <row r="23" spans="1:24">
      <c r="E23" s="161" cm="1">
        <f t="array" ref="E23" xml:space="preserve"> ROW() - ROW($2:$2)</f>
        <v>21</v>
      </c>
      <c r="F23" s="206" t="str">
        <f t="shared" si="0"/>
        <v>s</v>
      </c>
      <c r="G23" s="206" t="str">
        <f t="shared" si="1"/>
        <v>n</v>
      </c>
      <c r="I23" s="161">
        <v>21</v>
      </c>
      <c r="J23" s="176" t="str">
        <f t="shared" si="2"/>
        <v>n</v>
      </c>
      <c r="K23" s="176" t="str">
        <f t="shared" si="3"/>
        <v>ㄙ</v>
      </c>
      <c r="M23" s="161">
        <v>21</v>
      </c>
      <c r="N23" s="175" t="str">
        <f t="shared" si="4"/>
        <v>s</v>
      </c>
      <c r="O23" s="175" t="str">
        <f t="shared" si="5"/>
        <v>ㄙ</v>
      </c>
      <c r="Q23" s="161">
        <v>21</v>
      </c>
      <c r="R23" s="164" t="str">
        <f t="shared" si="6"/>
        <v>n</v>
      </c>
      <c r="S23" s="178" t="str">
        <f t="shared" si="7"/>
        <v>s</v>
      </c>
      <c r="T23" s="164" t="str">
        <f xml:space="preserve"> INDEX($K$3:$K$44, MATCH(表格1_33[[#This Row],[鍵盤位置]], $J$3:$J$44,0))</f>
        <v>ㄙ</v>
      </c>
      <c r="V23" s="223" t="str">
        <f xml:space="preserve"> INDEX($K$3:$K$44, MATCH(表格1_33[[#This Row],[鍵盤位置]], $J$3:$J$44,0))</f>
        <v>ㄙ</v>
      </c>
      <c r="W23" s="224" t="s">
        <v>99</v>
      </c>
      <c r="X23" s="225" t="s">
        <v>294</v>
      </c>
    </row>
    <row r="24" spans="1:24">
      <c r="E24" s="161" cm="1">
        <f t="array" ref="E24" xml:space="preserve"> ROW() - ROW($2:$2)</f>
        <v>22</v>
      </c>
      <c r="F24" s="206" t="str">
        <f t="shared" si="0"/>
        <v>i</v>
      </c>
      <c r="G24" s="206" t="str">
        <f t="shared" si="1"/>
        <v>u</v>
      </c>
      <c r="I24" s="161">
        <v>22</v>
      </c>
      <c r="J24" s="176" t="str">
        <f t="shared" si="2"/>
        <v>u</v>
      </c>
      <c r="K24" s="176" t="str">
        <f t="shared" si="3"/>
        <v>ㄧ</v>
      </c>
      <c r="M24" s="161">
        <v>22</v>
      </c>
      <c r="N24" s="175" t="str">
        <f t="shared" si="4"/>
        <v>i</v>
      </c>
      <c r="O24" s="175" t="str">
        <f t="shared" si="5"/>
        <v>ㄧ</v>
      </c>
      <c r="Q24" s="161">
        <v>22</v>
      </c>
      <c r="R24" s="164" t="str">
        <f t="shared" si="6"/>
        <v>u</v>
      </c>
      <c r="S24" s="178" t="str">
        <f t="shared" si="7"/>
        <v>i</v>
      </c>
      <c r="T24" s="164" t="str">
        <f xml:space="preserve"> INDEX($K$3:$K$44, MATCH(表格1_33[[#This Row],[鍵盤位置]], $J$3:$J$44,0))</f>
        <v>ㄧ</v>
      </c>
      <c r="V24" s="223" t="str">
        <f xml:space="preserve"> INDEX($K$3:$K$44, MATCH(表格1_33[[#This Row],[鍵盤位置]], $J$3:$J$44,0))</f>
        <v>ㄧ</v>
      </c>
      <c r="W24" s="226" t="s">
        <v>49</v>
      </c>
      <c r="X24" s="225" t="s">
        <v>276</v>
      </c>
    </row>
    <row r="25" spans="1:24">
      <c r="E25" s="161" cm="1">
        <f t="array" ref="E25" xml:space="preserve"> ROW() - ROW($2:$2)</f>
        <v>23</v>
      </c>
      <c r="F25" s="206" t="str">
        <f t="shared" si="0"/>
        <v>u</v>
      </c>
      <c r="G25" s="206" t="str">
        <f t="shared" si="1"/>
        <v>j</v>
      </c>
      <c r="I25" s="161">
        <v>23</v>
      </c>
      <c r="J25" s="176" t="str">
        <f t="shared" si="2"/>
        <v>j</v>
      </c>
      <c r="K25" s="176" t="str">
        <f t="shared" si="3"/>
        <v>ㄨ</v>
      </c>
      <c r="M25" s="161">
        <v>23</v>
      </c>
      <c r="N25" s="175" t="str">
        <f t="shared" si="4"/>
        <v>u</v>
      </c>
      <c r="O25" s="175" t="str">
        <f t="shared" si="5"/>
        <v>ㄨ</v>
      </c>
      <c r="Q25" s="161">
        <v>23</v>
      </c>
      <c r="R25" s="164" t="str">
        <f t="shared" si="6"/>
        <v>j</v>
      </c>
      <c r="S25" s="178" t="str">
        <f t="shared" si="7"/>
        <v>u</v>
      </c>
      <c r="T25" s="164" t="str">
        <f xml:space="preserve"> INDEX($K$3:$K$44, MATCH(表格1_33[[#This Row],[鍵盤位置]], $J$3:$J$44,0))</f>
        <v>ㄨ</v>
      </c>
      <c r="V25" s="223" t="str">
        <f xml:space="preserve"> INDEX($K$3:$K$44, MATCH(表格1_33[[#This Row],[鍵盤位置]], $J$3:$J$44,0))</f>
        <v>ㄨ</v>
      </c>
      <c r="W25" s="226" t="s">
        <v>77</v>
      </c>
      <c r="X25" s="225" t="s">
        <v>274</v>
      </c>
    </row>
    <row r="26" spans="1:24">
      <c r="E26" s="161" cm="1">
        <f t="array" ref="E26" xml:space="preserve"> ROW() - ROW($2:$2)</f>
        <v>24</v>
      </c>
      <c r="F26" s="206" t="str">
        <f t="shared" si="0"/>
        <v>v</v>
      </c>
      <c r="G26" s="206" t="str">
        <f t="shared" si="1"/>
        <v>m</v>
      </c>
      <c r="I26" s="161">
        <v>24</v>
      </c>
      <c r="J26" s="176" t="str">
        <f t="shared" si="2"/>
        <v>m</v>
      </c>
      <c r="K26" s="176" t="str">
        <f t="shared" si="3"/>
        <v>ㄩ</v>
      </c>
      <c r="M26" s="161">
        <v>24</v>
      </c>
      <c r="N26" s="175" t="str">
        <f t="shared" si="4"/>
        <v>v</v>
      </c>
      <c r="O26" s="175" t="str">
        <f t="shared" si="5"/>
        <v>ㄩ</v>
      </c>
      <c r="Q26" s="161">
        <v>24</v>
      </c>
      <c r="R26" s="164" t="str">
        <f t="shared" si="6"/>
        <v>m</v>
      </c>
      <c r="S26" s="178" t="str">
        <f t="shared" si="7"/>
        <v>v</v>
      </c>
      <c r="T26" s="164" t="str">
        <f xml:space="preserve"> INDEX($K$3:$K$44, MATCH(表格1_33[[#This Row],[鍵盤位置]], $J$3:$J$44,0))</f>
        <v>ㄩ</v>
      </c>
      <c r="V26" s="223" t="str">
        <f xml:space="preserve"> INDEX($K$3:$K$44, MATCH(表格1_33[[#This Row],[鍵盤位置]], $J$3:$J$44,0))</f>
        <v>ㄩ</v>
      </c>
      <c r="W26" s="226" t="s">
        <v>66</v>
      </c>
      <c r="X26" s="225" t="s">
        <v>268</v>
      </c>
    </row>
    <row r="27" spans="1:24">
      <c r="E27" s="161" cm="1">
        <f t="array" ref="E27" xml:space="preserve"> ROW() - ROW($2:$2)</f>
        <v>25</v>
      </c>
      <c r="F27" s="206" t="str">
        <f t="shared" si="0"/>
        <v>a</v>
      </c>
      <c r="G27" s="206" t="str">
        <f t="shared" si="1"/>
        <v>8</v>
      </c>
      <c r="I27" s="161">
        <v>25</v>
      </c>
      <c r="J27" s="176" t="str">
        <f t="shared" si="2"/>
        <v>8</v>
      </c>
      <c r="K27" s="176" t="str">
        <f t="shared" si="3"/>
        <v>ㄚ</v>
      </c>
      <c r="M27" s="161">
        <v>25</v>
      </c>
      <c r="N27" s="175" t="str">
        <f t="shared" si="4"/>
        <v>a</v>
      </c>
      <c r="O27" s="175" t="str">
        <f t="shared" si="5"/>
        <v>ㄚ</v>
      </c>
      <c r="Q27" s="161">
        <v>25</v>
      </c>
      <c r="R27" s="164" t="str">
        <f t="shared" si="6"/>
        <v>8</v>
      </c>
      <c r="S27" s="178" t="str">
        <f t="shared" si="7"/>
        <v>a</v>
      </c>
      <c r="T27" s="164" t="str">
        <f xml:space="preserve"> INDEX($K$3:$K$44, MATCH(表格1_33[[#This Row],[鍵盤位置]], $J$3:$J$44,0))</f>
        <v>ㄚ</v>
      </c>
      <c r="V27" s="223" t="str">
        <f xml:space="preserve"> INDEX($K$3:$K$44, MATCH(表格1_33[[#This Row],[鍵盤位置]], $J$3:$J$44,0))</f>
        <v>ㄚ</v>
      </c>
      <c r="W27" s="226" t="s">
        <v>21</v>
      </c>
      <c r="X27" s="225" t="s">
        <v>278</v>
      </c>
    </row>
    <row r="28" spans="1:24">
      <c r="E28" s="161" cm="1">
        <f t="array" ref="E28" xml:space="preserve"> ROW() - ROW($2:$2)</f>
        <v>26</v>
      </c>
      <c r="F28" s="206" t="str">
        <f t="shared" si="0"/>
        <v>o</v>
      </c>
      <c r="G28" s="206" t="str">
        <f t="shared" si="1"/>
        <v>i</v>
      </c>
      <c r="I28" s="161">
        <v>26</v>
      </c>
      <c r="J28" s="176" t="str">
        <f t="shared" si="2"/>
        <v>i</v>
      </c>
      <c r="K28" s="176" t="str">
        <f t="shared" si="3"/>
        <v>ㄛ</v>
      </c>
      <c r="M28" s="161">
        <v>26</v>
      </c>
      <c r="N28" s="175" t="str">
        <f t="shared" si="4"/>
        <v>o</v>
      </c>
      <c r="O28" s="175" t="str">
        <f t="shared" si="5"/>
        <v>ㄛ</v>
      </c>
      <c r="Q28" s="161">
        <v>26</v>
      </c>
      <c r="R28" s="164" t="str">
        <f t="shared" si="6"/>
        <v>i</v>
      </c>
      <c r="S28" s="178" t="str">
        <f t="shared" si="7"/>
        <v>o</v>
      </c>
      <c r="T28" s="164" t="str">
        <f xml:space="preserve"> INDEX($K$3:$K$44, MATCH(表格1_33[[#This Row],[鍵盤位置]], $J$3:$J$44,0))</f>
        <v>ㄛ</v>
      </c>
      <c r="V28" s="223" t="str">
        <f xml:space="preserve"> INDEX($K$3:$K$44, MATCH(表格1_33[[#This Row],[鍵盤位置]], $J$3:$J$44,0))</f>
        <v>ㄛ</v>
      </c>
      <c r="W28" s="226" t="s">
        <v>51</v>
      </c>
      <c r="X28" s="225" t="s">
        <v>271</v>
      </c>
    </row>
    <row r="29" spans="1:24">
      <c r="E29" s="161" cm="1">
        <f t="array" ref="E29" xml:space="preserve"> ROW() - ROW($2:$2)</f>
        <v>27</v>
      </c>
      <c r="F29" s="206" t="str">
        <f t="shared" si="0"/>
        <v>e</v>
      </c>
      <c r="G29" s="206" t="str">
        <f t="shared" si="1"/>
        <v>k</v>
      </c>
      <c r="I29" s="161">
        <v>27</v>
      </c>
      <c r="J29" s="176" t="str">
        <f t="shared" si="2"/>
        <v>k</v>
      </c>
      <c r="K29" s="176" t="str">
        <f t="shared" si="3"/>
        <v>ㄜ</v>
      </c>
      <c r="M29" s="161">
        <v>27</v>
      </c>
      <c r="N29" s="175" t="str">
        <f t="shared" si="4"/>
        <v>e</v>
      </c>
      <c r="O29" s="175" t="str">
        <f t="shared" si="5"/>
        <v>ㄜ</v>
      </c>
      <c r="Q29" s="161">
        <v>27</v>
      </c>
      <c r="R29" s="164" t="str">
        <f t="shared" si="6"/>
        <v>k</v>
      </c>
      <c r="S29" s="178" t="str">
        <f t="shared" si="7"/>
        <v>e</v>
      </c>
      <c r="T29" s="164" t="str">
        <f xml:space="preserve"> INDEX($K$3:$K$44, MATCH(表格1_33[[#This Row],[鍵盤位置]], $J$3:$J$44,0))</f>
        <v>ㄜ</v>
      </c>
      <c r="V29" s="223" t="str">
        <f xml:space="preserve"> INDEX($K$3:$K$44, MATCH(表格1_33[[#This Row],[鍵盤位置]], $J$3:$J$44,0))</f>
        <v>ㄜ</v>
      </c>
      <c r="W29" s="226" t="s">
        <v>79</v>
      </c>
      <c r="X29" s="225" t="s">
        <v>269</v>
      </c>
    </row>
    <row r="30" spans="1:24">
      <c r="E30" s="161" cm="1">
        <f t="array" ref="E30" xml:space="preserve"> ROW() - ROW($2:$2)</f>
        <v>28</v>
      </c>
      <c r="F30" s="206" t="str">
        <f t="shared" si="0"/>
        <v>E</v>
      </c>
      <c r="G30" s="206" t="str">
        <f t="shared" si="1"/>
        <v>,</v>
      </c>
      <c r="I30" s="161">
        <v>28</v>
      </c>
      <c r="J30" s="176" t="str">
        <f t="shared" si="2"/>
        <v>,</v>
      </c>
      <c r="K30" s="176" t="str">
        <f t="shared" si="3"/>
        <v>ㄝ</v>
      </c>
      <c r="M30" s="161">
        <v>28</v>
      </c>
      <c r="N30" s="175" t="str">
        <f t="shared" si="4"/>
        <v>E</v>
      </c>
      <c r="O30" s="175" t="str">
        <f t="shared" si="5"/>
        <v>ㄝ</v>
      </c>
      <c r="Q30" s="161">
        <v>28</v>
      </c>
      <c r="R30" s="164" t="str">
        <f t="shared" si="6"/>
        <v>,</v>
      </c>
      <c r="S30" s="178" t="str">
        <f t="shared" si="7"/>
        <v>E</v>
      </c>
      <c r="T30" s="164" t="str">
        <f xml:space="preserve"> INDEX($K$3:$K$44, MATCH(表格1_33[[#This Row],[鍵盤位置]], $J$3:$J$44,0))</f>
        <v>ㄝ</v>
      </c>
      <c r="V30" s="223" t="str">
        <f xml:space="preserve"> INDEX($K$3:$K$44, MATCH(表格1_33[[#This Row],[鍵盤位置]], $J$3:$J$44,0))</f>
        <v>ㄝ</v>
      </c>
      <c r="W30" s="226" t="s">
        <v>372</v>
      </c>
      <c r="X30" s="225" t="s">
        <v>574</v>
      </c>
    </row>
    <row r="31" spans="1:24">
      <c r="E31" s="161" cm="1">
        <f t="array" ref="E31" xml:space="preserve"> ROW() - ROW($2:$2)</f>
        <v>29</v>
      </c>
      <c r="F31" s="206" t="str">
        <f t="shared" si="0"/>
        <v>A</v>
      </c>
      <c r="G31" s="206" t="str">
        <f t="shared" si="1"/>
        <v>9</v>
      </c>
      <c r="I31" s="161">
        <v>29</v>
      </c>
      <c r="J31" s="176" t="str">
        <f t="shared" si="2"/>
        <v>9</v>
      </c>
      <c r="K31" s="176" t="str">
        <f t="shared" si="3"/>
        <v>ㄞ</v>
      </c>
      <c r="M31" s="161">
        <v>29</v>
      </c>
      <c r="N31" s="175" t="str">
        <f t="shared" si="4"/>
        <v>A</v>
      </c>
      <c r="O31" s="175" t="str">
        <f t="shared" si="5"/>
        <v>ㄞ</v>
      </c>
      <c r="Q31" s="161">
        <v>29</v>
      </c>
      <c r="R31" s="164" t="str">
        <f t="shared" si="6"/>
        <v>9</v>
      </c>
      <c r="S31" s="178" t="str">
        <f t="shared" si="7"/>
        <v>A</v>
      </c>
      <c r="T31" s="164" t="str">
        <f xml:space="preserve"> INDEX($K$3:$K$44, MATCH(表格1_33[[#This Row],[鍵盤位置]], $J$3:$J$44,0))</f>
        <v>ㄞ</v>
      </c>
      <c r="V31" s="223" t="str">
        <f xml:space="preserve"> INDEX($K$3:$K$44, MATCH(表格1_33[[#This Row],[鍵盤位置]], $J$3:$J$44,0))</f>
        <v>ㄞ</v>
      </c>
      <c r="W31" s="226" t="s">
        <v>53</v>
      </c>
      <c r="X31" s="225" t="s">
        <v>265</v>
      </c>
    </row>
    <row r="32" spans="1:24">
      <c r="E32" s="161" cm="1">
        <f t="array" ref="E32" xml:space="preserve"> ROW() - ROW($2:$2)</f>
        <v>30</v>
      </c>
      <c r="F32" s="206" t="str">
        <f t="shared" si="0"/>
        <v>I</v>
      </c>
      <c r="G32" s="206" t="str">
        <f t="shared" si="1"/>
        <v>o</v>
      </c>
      <c r="I32" s="161">
        <v>30</v>
      </c>
      <c r="J32" s="176" t="str">
        <f t="shared" si="2"/>
        <v>o</v>
      </c>
      <c r="K32" s="176" t="str">
        <f t="shared" si="3"/>
        <v>ㄟ</v>
      </c>
      <c r="M32" s="161">
        <v>30</v>
      </c>
      <c r="N32" s="175" t="str">
        <f t="shared" si="4"/>
        <v>I</v>
      </c>
      <c r="O32" s="175" t="str">
        <f t="shared" si="5"/>
        <v>ㄟ</v>
      </c>
      <c r="Q32" s="161">
        <v>30</v>
      </c>
      <c r="R32" s="164" t="str">
        <f t="shared" si="6"/>
        <v>o</v>
      </c>
      <c r="S32" s="178" t="str">
        <f t="shared" si="7"/>
        <v>I</v>
      </c>
      <c r="T32" s="164" t="str">
        <f xml:space="preserve"> INDEX($K$3:$K$44, MATCH(表格1_33[[#This Row],[鍵盤位置]], $J$3:$J$44,0))</f>
        <v>ㄟ</v>
      </c>
      <c r="V32" s="223" t="str">
        <f xml:space="preserve"> INDEX($K$3:$K$44, MATCH(表格1_33[[#This Row],[鍵盤位置]], $J$3:$J$44,0))</f>
        <v>ㄟ</v>
      </c>
      <c r="W32" s="226" t="s">
        <v>375</v>
      </c>
      <c r="X32" s="225" t="s">
        <v>577</v>
      </c>
    </row>
    <row r="33" spans="5:24">
      <c r="E33" s="161" cm="1">
        <f t="array" ref="E33" xml:space="preserve"> ROW() - ROW($2:$2)</f>
        <v>31</v>
      </c>
      <c r="F33" s="206" t="str">
        <f t="shared" si="0"/>
        <v>O</v>
      </c>
      <c r="G33" s="206" t="str">
        <f t="shared" si="1"/>
        <v>l</v>
      </c>
      <c r="I33" s="161">
        <v>31</v>
      </c>
      <c r="J33" s="176" t="str">
        <f t="shared" si="2"/>
        <v>l</v>
      </c>
      <c r="K33" s="176" t="str">
        <f t="shared" si="3"/>
        <v>ㄠ</v>
      </c>
      <c r="M33" s="161">
        <v>31</v>
      </c>
      <c r="N33" s="175" t="str">
        <f t="shared" si="4"/>
        <v>O</v>
      </c>
      <c r="O33" s="175" t="str">
        <f t="shared" si="5"/>
        <v>ㄠ</v>
      </c>
      <c r="Q33" s="161">
        <v>31</v>
      </c>
      <c r="R33" s="164" t="str">
        <f t="shared" si="6"/>
        <v>l</v>
      </c>
      <c r="S33" s="178" t="str">
        <f t="shared" si="7"/>
        <v>O</v>
      </c>
      <c r="T33" s="164" t="str">
        <f xml:space="preserve"> INDEX($K$3:$K$44, MATCH(表格1_33[[#This Row],[鍵盤位置]], $J$3:$J$44,0))</f>
        <v>ㄠ</v>
      </c>
      <c r="V33" s="223" t="str">
        <f xml:space="preserve"> INDEX($K$3:$K$44, MATCH(表格1_33[[#This Row],[鍵盤位置]], $J$3:$J$44,0))</f>
        <v>ㄠ</v>
      </c>
      <c r="W33" s="226" t="s">
        <v>515</v>
      </c>
      <c r="X33" s="225" t="s">
        <v>580</v>
      </c>
    </row>
    <row r="34" spans="5:24">
      <c r="E34" s="161" cm="1">
        <f t="array" ref="E34" xml:space="preserve"> ROW() - ROW($2:$2)</f>
        <v>32</v>
      </c>
      <c r="F34" s="206" t="str">
        <f t="shared" si="0"/>
        <v>U</v>
      </c>
      <c r="G34" s="206" t="str">
        <f t="shared" si="1"/>
        <v>.</v>
      </c>
      <c r="I34" s="161">
        <v>32</v>
      </c>
      <c r="J34" s="176" t="str">
        <f t="shared" si="2"/>
        <v>.</v>
      </c>
      <c r="K34" s="176" t="str">
        <f t="shared" si="3"/>
        <v>ㄡ</v>
      </c>
      <c r="M34" s="161">
        <v>32</v>
      </c>
      <c r="N34" s="175" t="str">
        <f t="shared" si="4"/>
        <v>U</v>
      </c>
      <c r="O34" s="175" t="str">
        <f t="shared" si="5"/>
        <v>ㄡ</v>
      </c>
      <c r="Q34" s="161">
        <v>32</v>
      </c>
      <c r="R34" s="164" t="str">
        <f t="shared" si="6"/>
        <v>.</v>
      </c>
      <c r="S34" s="178" t="str">
        <f t="shared" si="7"/>
        <v>U</v>
      </c>
      <c r="T34" s="164" t="str">
        <f xml:space="preserve"> INDEX($K$3:$K$44, MATCH(表格1_33[[#This Row],[鍵盤位置]], $J$3:$J$44,0))</f>
        <v>ㄡ</v>
      </c>
      <c r="V34" s="223" t="str">
        <f xml:space="preserve"> INDEX($K$3:$K$44, MATCH(表格1_33[[#This Row],[鍵盤位置]], $J$3:$J$44,0))</f>
        <v>ㄡ</v>
      </c>
      <c r="W34" s="226" t="s">
        <v>509</v>
      </c>
      <c r="X34" s="225" t="s">
        <v>581</v>
      </c>
    </row>
    <row r="35" spans="5:24">
      <c r="E35" s="161" cm="1">
        <f t="array" ref="E35" xml:space="preserve"> ROW() - ROW($2:$2)</f>
        <v>33</v>
      </c>
      <c r="F35" s="206" t="str">
        <f t="shared" si="0"/>
        <v>M</v>
      </c>
      <c r="G35" s="206" t="str">
        <f t="shared" si="1"/>
        <v>0</v>
      </c>
      <c r="I35" s="161">
        <v>33</v>
      </c>
      <c r="J35" s="176" t="str">
        <f t="shared" si="2"/>
        <v>0</v>
      </c>
      <c r="K35" s="176" t="str">
        <f t="shared" si="3"/>
        <v>ㄢ</v>
      </c>
      <c r="M35" s="161">
        <v>33</v>
      </c>
      <c r="N35" s="175" t="str">
        <f t="shared" si="4"/>
        <v>M</v>
      </c>
      <c r="O35" s="175" t="str">
        <f t="shared" si="5"/>
        <v>ㄢ</v>
      </c>
      <c r="Q35" s="161">
        <v>33</v>
      </c>
      <c r="R35" s="164" t="str">
        <f t="shared" si="6"/>
        <v>0</v>
      </c>
      <c r="S35" s="178" t="str">
        <f t="shared" si="7"/>
        <v>M</v>
      </c>
      <c r="T35" s="164" t="str">
        <f xml:space="preserve"> INDEX($K$3:$K$44, MATCH(表格1_33[[#This Row],[鍵盤位置]], $J$3:$J$44,0))</f>
        <v>ㄢ</v>
      </c>
      <c r="V35" s="223" t="str">
        <f xml:space="preserve"> INDEX($K$3:$K$44, MATCH(表格1_33[[#This Row],[鍵盤位置]], $J$3:$J$44,0))</f>
        <v>ㄢ</v>
      </c>
      <c r="W35" s="226" t="s">
        <v>232</v>
      </c>
      <c r="X35" s="225" t="s">
        <v>267</v>
      </c>
    </row>
    <row r="36" spans="5:24">
      <c r="E36" s="161" cm="1">
        <f t="array" ref="E36" xml:space="preserve"> ROW() - ROW($2:$2)</f>
        <v>34</v>
      </c>
      <c r="F36" s="206" t="str">
        <f t="shared" si="0"/>
        <v>N</v>
      </c>
      <c r="G36" s="206" t="str">
        <f t="shared" si="1"/>
        <v>p</v>
      </c>
      <c r="I36" s="161">
        <v>34</v>
      </c>
      <c r="J36" s="176" t="str">
        <f t="shared" si="2"/>
        <v>p</v>
      </c>
      <c r="K36" s="176" t="str">
        <f t="shared" si="3"/>
        <v>ㄣ</v>
      </c>
      <c r="M36" s="161">
        <v>34</v>
      </c>
      <c r="N36" s="175" t="str">
        <f t="shared" si="4"/>
        <v>N</v>
      </c>
      <c r="O36" s="175" t="str">
        <f t="shared" si="5"/>
        <v>ㄣ</v>
      </c>
      <c r="Q36" s="161">
        <v>34</v>
      </c>
      <c r="R36" s="164" t="str">
        <f t="shared" si="6"/>
        <v>p</v>
      </c>
      <c r="S36" s="178" t="str">
        <f t="shared" si="7"/>
        <v>N</v>
      </c>
      <c r="T36" s="164" t="str">
        <f xml:space="preserve"> INDEX($K$3:$K$44, MATCH(表格1_33[[#This Row],[鍵盤位置]], $J$3:$J$44,0))</f>
        <v>ㄣ</v>
      </c>
      <c r="V36" s="223" t="str">
        <f xml:space="preserve"> INDEX($K$3:$K$44, MATCH(表格1_33[[#This Row],[鍵盤位置]], $J$3:$J$44,0))</f>
        <v>ㄣ</v>
      </c>
      <c r="W36" s="226" t="s">
        <v>512</v>
      </c>
      <c r="X36" s="225" t="s">
        <v>584</v>
      </c>
    </row>
    <row r="37" spans="5:24">
      <c r="E37" s="161" cm="1">
        <f t="array" ref="E37" xml:space="preserve"> ROW() - ROW($2:$2)</f>
        <v>35</v>
      </c>
      <c r="F37" s="206" t="str">
        <f t="shared" si="0"/>
        <v>K</v>
      </c>
      <c r="G37" s="206" t="str">
        <f t="shared" si="1"/>
        <v>;</v>
      </c>
      <c r="I37" s="161">
        <v>35</v>
      </c>
      <c r="J37" s="176" t="str">
        <f t="shared" si="2"/>
        <v>;</v>
      </c>
      <c r="K37" s="176" t="str">
        <f t="shared" si="3"/>
        <v>ㄤ</v>
      </c>
      <c r="M37" s="161">
        <v>35</v>
      </c>
      <c r="N37" s="175" t="str">
        <f t="shared" si="4"/>
        <v>K</v>
      </c>
      <c r="O37" s="175" t="str">
        <f t="shared" si="5"/>
        <v>ㄤ</v>
      </c>
      <c r="Q37" s="161">
        <v>35</v>
      </c>
      <c r="R37" s="164" t="str">
        <f t="shared" si="6"/>
        <v>;</v>
      </c>
      <c r="S37" s="178" t="str">
        <f t="shared" si="7"/>
        <v>K</v>
      </c>
      <c r="T37" s="164" t="str">
        <f xml:space="preserve"> INDEX($K$3:$K$44, MATCH(表格1_33[[#This Row],[鍵盤位置]], $J$3:$J$44,0))</f>
        <v>ㄤ</v>
      </c>
      <c r="V37" s="223" t="str">
        <f xml:space="preserve"> INDEX($K$3:$K$44, MATCH(表格1_33[[#This Row],[鍵盤位置]], $J$3:$J$44,0))</f>
        <v>ㄤ</v>
      </c>
      <c r="W37" s="226" t="s">
        <v>217</v>
      </c>
      <c r="X37" s="225" t="s">
        <v>586</v>
      </c>
    </row>
    <row r="38" spans="5:24">
      <c r="E38" s="161" cm="1">
        <f t="array" ref="E38" xml:space="preserve"> ROW() - ROW($2:$2)</f>
        <v>36</v>
      </c>
      <c r="F38" s="206" t="str">
        <f t="shared" si="0"/>
        <v>G</v>
      </c>
      <c r="G38" s="206" t="str">
        <f t="shared" si="1"/>
        <v>/</v>
      </c>
      <c r="I38" s="161">
        <v>36</v>
      </c>
      <c r="J38" s="176" t="str">
        <f t="shared" si="2"/>
        <v>/</v>
      </c>
      <c r="K38" s="176" t="str">
        <f t="shared" si="3"/>
        <v>ㄥ</v>
      </c>
      <c r="M38" s="161">
        <v>36</v>
      </c>
      <c r="N38" s="175" t="str">
        <f t="shared" si="4"/>
        <v>G</v>
      </c>
      <c r="O38" s="175" t="str">
        <f t="shared" si="5"/>
        <v>ㄥ</v>
      </c>
      <c r="Q38" s="161">
        <v>36</v>
      </c>
      <c r="R38" s="164" t="str">
        <f t="shared" si="6"/>
        <v>/</v>
      </c>
      <c r="S38" s="178" t="str">
        <f t="shared" si="7"/>
        <v>G</v>
      </c>
      <c r="T38" s="164" t="str">
        <f xml:space="preserve"> INDEX($K$3:$K$44, MATCH(表格1_33[[#This Row],[鍵盤位置]], $J$3:$J$44,0))</f>
        <v>ㄥ</v>
      </c>
      <c r="V38" s="223" t="str">
        <f xml:space="preserve"> INDEX($K$3:$K$44, MATCH(表格1_33[[#This Row],[鍵盤位置]], $J$3:$J$44,0))</f>
        <v>ㄥ</v>
      </c>
      <c r="W38" s="226" t="s">
        <v>73</v>
      </c>
      <c r="X38" s="225" t="s">
        <v>266</v>
      </c>
    </row>
    <row r="39" spans="5:24">
      <c r="E39" s="161" cm="1">
        <f t="array" ref="E39" xml:space="preserve"> ROW() - ROW($2:$2)</f>
        <v>37</v>
      </c>
      <c r="F39" s="206" t="str">
        <f t="shared" si="0"/>
        <v>R</v>
      </c>
      <c r="G39" s="206" t="str">
        <f t="shared" si="1"/>
        <v>-</v>
      </c>
      <c r="I39" s="161">
        <v>37</v>
      </c>
      <c r="J39" s="176" t="str">
        <f t="shared" si="2"/>
        <v>-</v>
      </c>
      <c r="K39" s="176" t="str">
        <f t="shared" si="3"/>
        <v>ㄦ</v>
      </c>
      <c r="M39" s="161">
        <v>37</v>
      </c>
      <c r="N39" s="175" t="str">
        <f t="shared" si="4"/>
        <v>R</v>
      </c>
      <c r="O39" s="175" t="str">
        <f t="shared" si="5"/>
        <v>ㄦ</v>
      </c>
      <c r="Q39" s="161">
        <v>37</v>
      </c>
      <c r="R39" s="164" t="str">
        <f t="shared" si="6"/>
        <v>-</v>
      </c>
      <c r="S39" s="178" t="str">
        <f t="shared" si="7"/>
        <v>R</v>
      </c>
      <c r="T39" s="164" t="str">
        <f xml:space="preserve"> INDEX($K$3:$K$44, MATCH(表格1_33[[#This Row],[鍵盤位置]], $J$3:$J$44,0))</f>
        <v>ㄦ</v>
      </c>
      <c r="V39" s="223" t="str">
        <f xml:space="preserve"> INDEX($K$3:$K$44, MATCH(表格1_33[[#This Row],[鍵盤位置]], $J$3:$J$44,0))</f>
        <v>ㄦ</v>
      </c>
      <c r="W39" s="226" t="s">
        <v>503</v>
      </c>
      <c r="X39" s="225" t="s">
        <v>588</v>
      </c>
    </row>
    <row r="40" spans="5:24">
      <c r="E40" s="161" cm="1">
        <f t="array" ref="E40" xml:space="preserve"> ROW() - ROW($2:$2)</f>
        <v>38</v>
      </c>
      <c r="F40" s="206" t="str">
        <f t="shared" si="0"/>
        <v>1</v>
      </c>
      <c r="G40" s="206" t="str">
        <f t="shared" si="1"/>
        <v xml:space="preserve"> </v>
      </c>
      <c r="I40" s="161">
        <v>38</v>
      </c>
      <c r="J40" s="176" t="str">
        <f t="shared" si="2"/>
        <v xml:space="preserve"> </v>
      </c>
      <c r="K40" s="176" t="str">
        <f t="shared" si="3"/>
        <v>ˉ</v>
      </c>
      <c r="M40" s="161">
        <v>38</v>
      </c>
      <c r="N40" s="175" t="str">
        <f t="shared" si="4"/>
        <v>1</v>
      </c>
      <c r="O40" s="175" t="str">
        <f t="shared" si="5"/>
        <v>ˉ</v>
      </c>
      <c r="Q40" s="161">
        <v>38</v>
      </c>
      <c r="R40" s="164" t="str">
        <f t="shared" si="6"/>
        <v xml:space="preserve"> </v>
      </c>
      <c r="S40" s="178" t="str">
        <f t="shared" si="7"/>
        <v>1</v>
      </c>
      <c r="T40" s="164" t="str">
        <f xml:space="preserve"> INDEX($K$3:$K$44, MATCH(表格1_33[[#This Row],[鍵盤位置]], $J$3:$J$44,0))</f>
        <v>ˉ</v>
      </c>
      <c r="V40" s="223" t="str">
        <f xml:space="preserve"> INDEX($K$3:$K$44, MATCH(表格1_33[[#This Row],[鍵盤位置]], $J$3:$J$44,0))</f>
        <v>ˉ</v>
      </c>
      <c r="W40" s="226" t="s">
        <v>506</v>
      </c>
      <c r="X40" s="225" t="s">
        <v>589</v>
      </c>
    </row>
    <row r="41" spans="5:24">
      <c r="E41" s="161" cm="1">
        <f t="array" ref="E41" xml:space="preserve"> ROW() - ROW($2:$2)</f>
        <v>39</v>
      </c>
      <c r="F41" s="206" t="str">
        <f t="shared" si="0"/>
        <v>2</v>
      </c>
      <c r="G41" s="206" t="str">
        <f t="shared" si="1"/>
        <v>6</v>
      </c>
      <c r="I41" s="161">
        <v>39</v>
      </c>
      <c r="J41" s="176" t="str">
        <f t="shared" si="2"/>
        <v>6</v>
      </c>
      <c r="K41" s="176" t="str">
        <f t="shared" si="3"/>
        <v>ˊ</v>
      </c>
      <c r="M41" s="161">
        <v>39</v>
      </c>
      <c r="N41" s="175" t="str">
        <f t="shared" si="4"/>
        <v>2</v>
      </c>
      <c r="O41" s="175" t="str">
        <f t="shared" si="5"/>
        <v>ˊ</v>
      </c>
      <c r="Q41" s="161">
        <v>39</v>
      </c>
      <c r="R41" s="164" t="str">
        <f t="shared" si="6"/>
        <v>6</v>
      </c>
      <c r="S41" s="178" t="str">
        <f t="shared" si="7"/>
        <v>2</v>
      </c>
      <c r="T41" s="164" t="str">
        <f xml:space="preserve"> INDEX($K$3:$K$44, MATCH(表格1_33[[#This Row],[鍵盤位置]], $J$3:$J$44,0))</f>
        <v>ˊ</v>
      </c>
      <c r="V41" s="223" t="str">
        <f xml:space="preserve"> INDEX($K$3:$K$44, MATCH(表格1_33[[#This Row],[鍵盤位置]], $J$3:$J$44,0))</f>
        <v>ˊ</v>
      </c>
      <c r="W41" s="226" t="s">
        <v>212</v>
      </c>
      <c r="X41" s="225" t="s">
        <v>277</v>
      </c>
    </row>
    <row r="42" spans="5:24">
      <c r="E42" s="161" cm="1">
        <f t="array" ref="E42" xml:space="preserve"> ROW() - ROW($2:$2)</f>
        <v>40</v>
      </c>
      <c r="F42" s="206" t="str">
        <f t="shared" si="0"/>
        <v>3</v>
      </c>
      <c r="G42" s="206" t="str">
        <f t="shared" si="1"/>
        <v>3</v>
      </c>
      <c r="I42" s="161">
        <v>40</v>
      </c>
      <c r="J42" s="176" t="str">
        <f t="shared" si="2"/>
        <v>3</v>
      </c>
      <c r="K42" s="176" t="str">
        <f t="shared" si="3"/>
        <v>ˇ</v>
      </c>
      <c r="M42" s="161">
        <v>40</v>
      </c>
      <c r="N42" s="175" t="str">
        <f t="shared" si="4"/>
        <v>3</v>
      </c>
      <c r="O42" s="175" t="str">
        <f t="shared" si="5"/>
        <v>ˇ</v>
      </c>
      <c r="Q42" s="161">
        <v>40</v>
      </c>
      <c r="R42" s="164" t="str">
        <f t="shared" si="6"/>
        <v>3</v>
      </c>
      <c r="S42" s="178" t="str">
        <f t="shared" si="7"/>
        <v>3</v>
      </c>
      <c r="T42" s="164" t="str">
        <f xml:space="preserve"> INDEX($K$3:$K$44, MATCH(表格1_33[[#This Row],[鍵盤位置]], $J$3:$J$44,0))</f>
        <v>ˇ</v>
      </c>
      <c r="V42" s="223" t="str">
        <f xml:space="preserve"> INDEX($K$3:$K$44, MATCH(表格1_33[[#This Row],[鍵盤位置]], $J$3:$J$44,0))</f>
        <v>ˇ</v>
      </c>
      <c r="W42" s="226" t="s">
        <v>215</v>
      </c>
      <c r="X42" s="225" t="s">
        <v>275</v>
      </c>
    </row>
    <row r="43" spans="5:24">
      <c r="E43" s="161" cm="1">
        <f t="array" ref="E43" xml:space="preserve"> ROW() - ROW($2:$2)</f>
        <v>41</v>
      </c>
      <c r="F43" s="206" t="str">
        <f t="shared" si="0"/>
        <v>4</v>
      </c>
      <c r="G43" s="206" t="str">
        <f t="shared" si="1"/>
        <v>4</v>
      </c>
      <c r="I43" s="161">
        <v>41</v>
      </c>
      <c r="J43" s="176" t="str">
        <f t="shared" si="2"/>
        <v>4</v>
      </c>
      <c r="K43" s="176" t="str">
        <f t="shared" si="3"/>
        <v>ˋ</v>
      </c>
      <c r="M43" s="161">
        <v>41</v>
      </c>
      <c r="N43" s="175" t="str">
        <f t="shared" si="4"/>
        <v>4</v>
      </c>
      <c r="O43" s="175" t="str">
        <f t="shared" si="5"/>
        <v>ˋ</v>
      </c>
      <c r="Q43" s="161">
        <v>41</v>
      </c>
      <c r="R43" s="164" t="str">
        <f t="shared" si="6"/>
        <v>4</v>
      </c>
      <c r="S43" s="178" t="str">
        <f t="shared" si="7"/>
        <v>4</v>
      </c>
      <c r="T43" s="164" t="str">
        <f xml:space="preserve"> INDEX($K$3:$K$44, MATCH(表格1_33[[#This Row],[鍵盤位置]], $J$3:$J$44,0))</f>
        <v>ˋ</v>
      </c>
      <c r="V43" s="223" t="str">
        <f xml:space="preserve"> INDEX($K$3:$K$44, MATCH(表格1_33[[#This Row],[鍵盤位置]], $J$3:$J$44,0))</f>
        <v>ˋ</v>
      </c>
      <c r="W43" s="226" t="s">
        <v>216</v>
      </c>
      <c r="X43" s="225" t="s">
        <v>273</v>
      </c>
    </row>
    <row r="44" spans="5:24">
      <c r="E44" s="161" cm="1">
        <f t="array" ref="E44" xml:space="preserve"> ROW() - ROW($2:$2)</f>
        <v>42</v>
      </c>
      <c r="F44" s="206" t="str">
        <f t="shared" si="0"/>
        <v>5</v>
      </c>
      <c r="G44" s="206" t="str">
        <f t="shared" si="1"/>
        <v>7</v>
      </c>
      <c r="I44" s="161">
        <v>42</v>
      </c>
      <c r="J44" s="176" t="str">
        <f t="shared" si="2"/>
        <v>7</v>
      </c>
      <c r="K44" s="176" t="str">
        <f t="shared" si="3"/>
        <v>˙</v>
      </c>
      <c r="M44" s="161">
        <v>42</v>
      </c>
      <c r="N44" s="175" t="str">
        <f t="shared" si="4"/>
        <v>5</v>
      </c>
      <c r="O44" s="175" t="str">
        <f t="shared" si="5"/>
        <v>˙</v>
      </c>
      <c r="Q44" s="161">
        <v>42</v>
      </c>
      <c r="R44" s="164" t="str">
        <f t="shared" si="6"/>
        <v>7</v>
      </c>
      <c r="S44" s="178" t="str">
        <f t="shared" si="7"/>
        <v>5</v>
      </c>
      <c r="T44" s="164" t="str">
        <f xml:space="preserve"> INDEX($K$3:$K$44, MATCH(表格1_33[[#This Row],[鍵盤位置]], $J$3:$J$44,0))</f>
        <v>˙</v>
      </c>
      <c r="V44" s="223" t="str">
        <f xml:space="preserve"> INDEX($K$3:$K$44, MATCH(表格1_33[[#This Row],[鍵盤位置]], $J$3:$J$44,0))</f>
        <v>˙</v>
      </c>
      <c r="W44" s="226" t="s">
        <v>214</v>
      </c>
      <c r="X44" s="225" t="s">
        <v>272</v>
      </c>
    </row>
    <row r="45" spans="5:24">
      <c r="O45" s="161"/>
    </row>
    <row r="46" spans="5:24">
      <c r="S46" s="161" t="str">
        <f xml:space="preserve"> _xlfn.CONCAT(按鍵編碼)</f>
        <v>bpmfdtnlgkhjqxZCSrzcsiuvaoeEAIOUMNKGR12345</v>
      </c>
    </row>
    <row r="47" spans="5:24">
      <c r="S47" s="161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27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61" customWidth="1"/>
    <col min="2" max="2" width="4.59765625" style="161" bestFit="1" customWidth="1"/>
    <col min="3" max="3" width="6.5" style="161" customWidth="1"/>
    <col min="4" max="4" width="5.09765625" style="161" customWidth="1"/>
    <col min="5" max="5" width="4.69921875" style="161" customWidth="1" outlineLevel="1"/>
    <col min="6" max="7" width="10.09765625" style="163" customWidth="1" outlineLevel="1"/>
    <col min="8" max="8" width="5.09765625" style="161" customWidth="1"/>
    <col min="9" max="9" width="4.69921875" style="161" customWidth="1"/>
    <col min="10" max="10" width="10.09765625" style="162" customWidth="1"/>
    <col min="11" max="11" width="10.09765625" style="163" customWidth="1"/>
    <col min="12" max="12" width="5.09765625" style="161" customWidth="1"/>
    <col min="13" max="13" width="4.69921875" style="161" customWidth="1"/>
    <col min="14" max="14" width="10.09765625" style="161" customWidth="1"/>
    <col min="15" max="15" width="10.09765625" style="164" customWidth="1"/>
    <col min="16" max="16" width="8.796875" style="161"/>
    <col min="17" max="17" width="4.69921875" style="161" customWidth="1"/>
    <col min="18" max="20" width="9.796875" style="161" customWidth="1"/>
    <col min="21" max="21" width="7.8984375" style="161" customWidth="1"/>
    <col min="22" max="22" width="4.796875" style="161" customWidth="1"/>
    <col min="23" max="23" width="7.8984375" style="161" customWidth="1"/>
    <col min="24" max="24" width="6.19921875" style="161" customWidth="1"/>
    <col min="25" max="28" width="11.296875" style="161" customWidth="1"/>
    <col min="29" max="29" width="8.796875" style="161"/>
    <col min="30" max="30" width="16.296875" style="161" customWidth="1"/>
    <col min="31" max="31" width="7.09765625" style="161" customWidth="1"/>
    <col min="32" max="40" width="8.796875" style="161"/>
    <col min="41" max="41" width="13.3984375" style="161" bestFit="1" customWidth="1"/>
    <col min="42" max="46" width="8.796875" style="161"/>
    <col min="47" max="47" width="12.19921875" style="161" bestFit="1" customWidth="1"/>
    <col min="48" max="16384" width="8.796875" style="161"/>
  </cols>
  <sheetData>
    <row r="1" spans="1:30" ht="32.25">
      <c r="A1" s="219" t="s">
        <v>524</v>
      </c>
      <c r="E1" s="219" t="s">
        <v>521</v>
      </c>
      <c r="I1" s="219" t="s">
        <v>523</v>
      </c>
      <c r="M1" s="219" t="s">
        <v>522</v>
      </c>
      <c r="Q1" s="220" t="s">
        <v>602</v>
      </c>
      <c r="X1" s="230" t="s">
        <v>517</v>
      </c>
      <c r="Y1" s="140"/>
      <c r="Z1" s="105"/>
      <c r="AA1" s="99"/>
      <c r="AB1" s="99"/>
    </row>
    <row r="2" spans="1:30" ht="26.25" thickBot="1">
      <c r="A2" s="233" t="s">
        <v>604</v>
      </c>
      <c r="F2" s="165" t="s">
        <v>601</v>
      </c>
      <c r="G2" s="166" t="s">
        <v>527</v>
      </c>
      <c r="J2" s="165" t="s">
        <v>527</v>
      </c>
      <c r="K2" s="166" t="s">
        <v>528</v>
      </c>
      <c r="N2" s="165" t="s">
        <v>601</v>
      </c>
      <c r="O2" s="166" t="s">
        <v>529</v>
      </c>
      <c r="R2" s="169" t="s">
        <v>606</v>
      </c>
      <c r="S2" s="169" t="s">
        <v>603</v>
      </c>
      <c r="T2" s="169" t="s">
        <v>292</v>
      </c>
      <c r="X2" s="145" t="s">
        <v>103</v>
      </c>
      <c r="Y2" s="146" t="s">
        <v>104</v>
      </c>
      <c r="Z2" s="147" t="s">
        <v>259</v>
      </c>
      <c r="AA2" s="148" t="s">
        <v>229</v>
      </c>
      <c r="AB2" s="149" t="s">
        <v>413</v>
      </c>
    </row>
    <row r="3" spans="1:30" ht="33" thickTop="1">
      <c r="A3" s="161">
        <f xml:space="preserve"> SEARCH("|",$A$2,1)</f>
        <v>7</v>
      </c>
      <c r="E3" s="161" cm="1">
        <f t="array" ref="E3" xml:space="preserve"> ROW() - ROW($2:$2)</f>
        <v>1</v>
      </c>
      <c r="F3" s="172" t="str">
        <f xml:space="preserve"> IFERROR( MID($A$6, $E3, 1), "")</f>
        <v>p</v>
      </c>
      <c r="G3" s="173" t="str">
        <f xml:space="preserve"> IFERROR( MID($A$7, $E3, 1), "")</f>
        <v>1</v>
      </c>
      <c r="I3" s="161">
        <v>1</v>
      </c>
      <c r="J3" s="176" t="str">
        <f xml:space="preserve"> IFERROR( MID($A$15, $E3, 1), "")</f>
        <v>1</v>
      </c>
      <c r="K3" s="176" t="str">
        <f xml:space="preserve"> IFERROR( MID($A$16, $E3, 1), "")</f>
        <v>ㄅ</v>
      </c>
      <c r="M3" s="161">
        <v>1</v>
      </c>
      <c r="N3" s="175" t="str">
        <f t="shared" ref="N3:N19" si="0" xml:space="preserve"> IFERROR( MID($A$25, $E3, 1), "")</f>
        <v>p</v>
      </c>
      <c r="O3" s="175" t="str">
        <f t="shared" ref="O3:O44" si="1" xml:space="preserve"> IFERROR( MID($A$26, $E3, 1), "")</f>
        <v>ㄅ</v>
      </c>
      <c r="Q3" s="161">
        <v>1</v>
      </c>
      <c r="R3" s="164" t="str">
        <f>G3</f>
        <v>1</v>
      </c>
      <c r="S3" s="178" t="str">
        <f>F3</f>
        <v>p</v>
      </c>
      <c r="T3" s="231" t="str">
        <f xml:space="preserve"> IFERROR( INDEX($K$3:$K$44, MATCH(表格1_3345[[#This Row],[鍵盤按鍵]], $J$3:$J$44,0)), "")</f>
        <v>ㄅ</v>
      </c>
      <c r="X3" s="14">
        <v>1</v>
      </c>
      <c r="Y3" s="141" t="s">
        <v>8</v>
      </c>
      <c r="Z3" s="100" t="s">
        <v>191</v>
      </c>
      <c r="AA3" s="90" t="str">
        <f xml:space="preserve"> IFERROR( INDEX(表格1_3345[字典編碼], MATCH($Y3, 表格1_3345[方音符號], 0)), "")</f>
        <v>p</v>
      </c>
      <c r="AB3" s="91" t="str">
        <f xml:space="preserve"> IFERROR( INDEX(表格1_3345[鍵盤按鍵], MATCH($Y3, 表格1_3345[方音符號], 0)), "")</f>
        <v>1</v>
      </c>
      <c r="AD3"/>
    </row>
    <row r="4" spans="1:30" ht="32.25">
      <c r="A4" s="161">
        <f xml:space="preserve"> SEARCH("|",$A$2,A3+1)</f>
        <v>50</v>
      </c>
      <c r="E4" s="161" cm="1">
        <f t="array" ref="E4" xml:space="preserve"> ROW() - ROW($2:$2)</f>
        <v>2</v>
      </c>
      <c r="F4" s="181" t="str">
        <f t="shared" ref="F4:F44" si="2" xml:space="preserve"> IFERROR( MID($A$6, $E4, 1), "")</f>
        <v>P</v>
      </c>
      <c r="G4" s="182" t="str">
        <f t="shared" ref="G4:G44" si="3" xml:space="preserve"> IFERROR( MID($A$7, $E4, 1), "")</f>
        <v>q</v>
      </c>
      <c r="I4" s="161">
        <v>2</v>
      </c>
      <c r="J4" s="176" t="str">
        <f t="shared" ref="J4:J44" si="4" xml:space="preserve"> IFERROR( MID($A$15, $E4, 1), "")</f>
        <v>q</v>
      </c>
      <c r="K4" s="176" t="str">
        <f t="shared" ref="K4:K44" si="5" xml:space="preserve"> IFERROR( MID($A$16, $E4, 1), "")</f>
        <v>ㄆ</v>
      </c>
      <c r="M4" s="161">
        <v>2</v>
      </c>
      <c r="N4" s="175" t="str">
        <f t="shared" si="0"/>
        <v>P</v>
      </c>
      <c r="O4" s="175" t="str">
        <f t="shared" si="1"/>
        <v>ㄆ</v>
      </c>
      <c r="Q4" s="161">
        <v>2</v>
      </c>
      <c r="R4" s="164" t="str">
        <f t="shared" ref="R4:R44" si="6">G4</f>
        <v>q</v>
      </c>
      <c r="S4" s="178" t="str">
        <f t="shared" ref="S4:S44" si="7">F4</f>
        <v>P</v>
      </c>
      <c r="T4" s="231" t="str">
        <f xml:space="preserve"> IFERROR( INDEX($K$3:$K$44, MATCH(表格1_3345[[#This Row],[鍵盤按鍵]], $J$3:$J$44,0)), "")</f>
        <v>ㄆ</v>
      </c>
      <c r="X4" s="14">
        <f>X3+1</f>
        <v>2</v>
      </c>
      <c r="Y4" s="141" t="s">
        <v>37</v>
      </c>
      <c r="Z4" s="100" t="s">
        <v>125</v>
      </c>
      <c r="AA4" s="90" t="str">
        <f xml:space="preserve"> IFERROR( INDEX(表格1_3345[字典編碼], MATCH($Y4, 表格1_3345[方音符號], 0)), "")</f>
        <v>P</v>
      </c>
      <c r="AB4" s="91" t="str">
        <f xml:space="preserve"> IFERROR( INDEX(表格1_3345[鍵盤按鍵], MATCH($Y4, 表格1_3345[方音符號], 0)), "")</f>
        <v>q</v>
      </c>
    </row>
    <row r="5" spans="1:30" ht="32.25">
      <c r="A5" s="161">
        <f xml:space="preserve"> SEARCH("|",$A$2,A4+1)</f>
        <v>93</v>
      </c>
      <c r="E5" s="161" cm="1">
        <f t="array" ref="E5" xml:space="preserve"> ROW() - ROW($2:$2)</f>
        <v>3</v>
      </c>
      <c r="F5" s="181" t="str">
        <f t="shared" si="2"/>
        <v>m</v>
      </c>
      <c r="G5" s="182" t="str">
        <f t="shared" si="3"/>
        <v>a</v>
      </c>
      <c r="I5" s="161">
        <v>3</v>
      </c>
      <c r="J5" s="176" t="str">
        <f t="shared" si="4"/>
        <v>a</v>
      </c>
      <c r="K5" s="176" t="str">
        <f t="shared" si="5"/>
        <v>ㄇ</v>
      </c>
      <c r="M5" s="161">
        <v>3</v>
      </c>
      <c r="N5" s="175" t="str">
        <f t="shared" si="0"/>
        <v>b</v>
      </c>
      <c r="O5" s="175" t="str">
        <f t="shared" si="1"/>
        <v>ㆠ</v>
      </c>
      <c r="Q5" s="161">
        <v>3</v>
      </c>
      <c r="R5" s="164" t="str">
        <f t="shared" si="6"/>
        <v>a</v>
      </c>
      <c r="S5" s="178" t="str">
        <f t="shared" si="7"/>
        <v>m</v>
      </c>
      <c r="T5" s="231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41" t="s">
        <v>90</v>
      </c>
      <c r="Z5" s="100" t="s">
        <v>162</v>
      </c>
      <c r="AA5" s="92" t="str">
        <f xml:space="preserve"> IFERROR( INDEX(表格1_3345[字典編碼], MATCH($Y5, 表格1_3345[方音符號], 0)), "")</f>
        <v>b</v>
      </c>
      <c r="AB5" s="91" t="str">
        <f xml:space="preserve"> IFERROR( INDEX(表格1_3345[鍵盤按鍵], MATCH($Y5, 表格1_3345[方音符號], 0)), "")</f>
        <v>z</v>
      </c>
    </row>
    <row r="6" spans="1:30" ht="32.25">
      <c r="A6" s="216" t="str">
        <f xml:space="preserve"> MID($A$2,A3+1, A4-A3-1)</f>
        <v>pPmbtTndkKhjJSgqzcCsiuBaoøMIeUYLDQGN123570</v>
      </c>
      <c r="B6" s="217">
        <f xml:space="preserve"> LEN(A6)</f>
        <v>42</v>
      </c>
      <c r="E6" s="161" cm="1">
        <f t="array" ref="E6" xml:space="preserve"> ROW() - ROW($2:$2)</f>
        <v>4</v>
      </c>
      <c r="F6" s="186" t="str">
        <f t="shared" si="2"/>
        <v>b</v>
      </c>
      <c r="G6" s="187" t="str">
        <f t="shared" si="3"/>
        <v>z</v>
      </c>
      <c r="I6" s="161">
        <v>4</v>
      </c>
      <c r="J6" s="176" t="str">
        <f t="shared" si="4"/>
        <v>z</v>
      </c>
      <c r="K6" s="176" t="str">
        <f t="shared" si="5"/>
        <v>ㆠ</v>
      </c>
      <c r="M6" s="161">
        <v>4</v>
      </c>
      <c r="N6" s="175" t="str">
        <f t="shared" si="0"/>
        <v>t</v>
      </c>
      <c r="O6" s="175" t="str">
        <f t="shared" si="1"/>
        <v>ㄉ</v>
      </c>
      <c r="Q6" s="161">
        <v>4</v>
      </c>
      <c r="R6" s="164" t="str">
        <f t="shared" si="6"/>
        <v>z</v>
      </c>
      <c r="S6" s="178" t="str">
        <f t="shared" si="7"/>
        <v>b</v>
      </c>
      <c r="T6" s="231" t="str">
        <f xml:space="preserve"> IFERROR( INDEX($K$3:$K$44, MATCH(表格1_3345[[#This Row],[鍵盤按鍵]], $J$3:$J$44,0)), "")</f>
        <v>ㆠ</v>
      </c>
      <c r="X6" s="14">
        <f t="shared" si="8"/>
        <v>4</v>
      </c>
      <c r="Y6" s="141" t="s">
        <v>55</v>
      </c>
      <c r="Z6" s="100" t="s">
        <v>124</v>
      </c>
      <c r="AA6" s="90" t="str">
        <f xml:space="preserve"> IFERROR( INDEX(表格1_3345[字典編碼], MATCH($Y6, 表格1_3345[方音符號], 0)), "")</f>
        <v>m</v>
      </c>
      <c r="AB6" s="91" t="str">
        <f xml:space="preserve"> IFERROR( INDEX(表格1_3345[鍵盤按鍵], MATCH($Y6, 表格1_3345[方音符號], 0)), "")</f>
        <v>a</v>
      </c>
    </row>
    <row r="7" spans="1:30" ht="32.25">
      <c r="A7" s="216" t="str">
        <f xml:space="preserve"> MID($A$2,A4+1, A5-A4-1)</f>
        <v>1qaz2wsxedcrfvtgbyhnujm8ik,9ol.0p;/- 43657</v>
      </c>
      <c r="B7" s="217">
        <f xml:space="preserve"> LEN(A7)</f>
        <v>42</v>
      </c>
      <c r="E7" s="161" cm="1">
        <f t="array" ref="E7" xml:space="preserve"> ROW() - ROW($2:$2)</f>
        <v>5</v>
      </c>
      <c r="F7" s="181" t="str">
        <f t="shared" si="2"/>
        <v>t</v>
      </c>
      <c r="G7" s="182" t="str">
        <f t="shared" si="3"/>
        <v>2</v>
      </c>
      <c r="I7" s="161">
        <v>5</v>
      </c>
      <c r="J7" s="176" t="str">
        <f t="shared" si="4"/>
        <v>2</v>
      </c>
      <c r="K7" s="176" t="str">
        <f t="shared" si="5"/>
        <v>ㄉ</v>
      </c>
      <c r="M7" s="161">
        <v>5</v>
      </c>
      <c r="N7" s="175" t="str">
        <f t="shared" si="0"/>
        <v>T</v>
      </c>
      <c r="O7" s="175" t="str">
        <f t="shared" si="1"/>
        <v>ㄊ</v>
      </c>
      <c r="Q7" s="161">
        <v>5</v>
      </c>
      <c r="R7" s="164" t="str">
        <f t="shared" si="6"/>
        <v>2</v>
      </c>
      <c r="S7" s="178" t="str">
        <f t="shared" si="7"/>
        <v>t</v>
      </c>
      <c r="T7" s="231" t="str">
        <f xml:space="preserve"> IFERROR( INDEX($K$3:$K$44, MATCH(表格1_3345[[#This Row],[鍵盤按鍵]], $J$3:$J$44,0)), "")</f>
        <v>ㄉ</v>
      </c>
      <c r="X7" s="17">
        <f t="shared" si="8"/>
        <v>5</v>
      </c>
      <c r="Y7" s="142" t="s">
        <v>10</v>
      </c>
      <c r="Z7" s="101" t="s">
        <v>11</v>
      </c>
      <c r="AA7" s="93" t="str">
        <f xml:space="preserve"> IFERROR( INDEX(表格1_3345[字典編碼], MATCH($Y7, 表格1_3345[方音符號], 0)), "")</f>
        <v>t</v>
      </c>
      <c r="AB7" s="94" t="str">
        <f xml:space="preserve"> IFERROR( INDEX(表格1_3345[鍵盤按鍵], MATCH($Y7, 表格1_3345[方音符號], 0)), "")</f>
        <v>2</v>
      </c>
    </row>
    <row r="8" spans="1:30" ht="32.25">
      <c r="E8" s="161" cm="1">
        <f t="array" ref="E8" xml:space="preserve"> ROW() - ROW($2:$2)</f>
        <v>6</v>
      </c>
      <c r="F8" s="181" t="str">
        <f t="shared" si="2"/>
        <v>T</v>
      </c>
      <c r="G8" s="182" t="str">
        <f t="shared" si="3"/>
        <v>w</v>
      </c>
      <c r="I8" s="161">
        <v>6</v>
      </c>
      <c r="J8" s="176" t="str">
        <f t="shared" si="4"/>
        <v>w</v>
      </c>
      <c r="K8" s="176" t="str">
        <f t="shared" si="5"/>
        <v>ㄊ</v>
      </c>
      <c r="M8" s="161">
        <v>6</v>
      </c>
      <c r="N8" s="175" t="str">
        <f t="shared" si="0"/>
        <v>d</v>
      </c>
      <c r="O8" s="175" t="str">
        <f t="shared" si="1"/>
        <v>ㄌ</v>
      </c>
      <c r="Q8" s="161">
        <v>6</v>
      </c>
      <c r="R8" s="164" t="str">
        <f t="shared" si="6"/>
        <v>w</v>
      </c>
      <c r="S8" s="178" t="str">
        <f t="shared" si="7"/>
        <v>T</v>
      </c>
      <c r="T8" s="231" t="str">
        <f xml:space="preserve"> IFERROR( INDEX($K$3:$K$44, MATCH(表格1_3345[[#This Row],[鍵盤按鍵]], $J$3:$J$44,0)), "")</f>
        <v>ㄊ</v>
      </c>
      <c r="X8" s="18">
        <f t="shared" si="8"/>
        <v>6</v>
      </c>
      <c r="Y8" s="141" t="s">
        <v>39</v>
      </c>
      <c r="Z8" s="100" t="s">
        <v>40</v>
      </c>
      <c r="AA8" s="90" t="str">
        <f xml:space="preserve"> IFERROR( INDEX(表格1_3345[字典編碼], MATCH($Y8, 表格1_3345[方音符號], 0)), "")</f>
        <v>T</v>
      </c>
      <c r="AB8" s="91" t="str">
        <f xml:space="preserve"> IFERROR( INDEX(表格1_3345[鍵盤按鍵], MATCH($Y8, 表格1_3345[方音符號], 0)), "")</f>
        <v>w</v>
      </c>
    </row>
    <row r="9" spans="1:30" ht="32.25">
      <c r="E9" s="161" cm="1">
        <f t="array" ref="E9" xml:space="preserve"> ROW() - ROW($2:$2)</f>
        <v>7</v>
      </c>
      <c r="F9" s="181" t="str">
        <f t="shared" si="2"/>
        <v>n</v>
      </c>
      <c r="G9" s="182" t="str">
        <f t="shared" si="3"/>
        <v>s</v>
      </c>
      <c r="I9" s="161">
        <v>7</v>
      </c>
      <c r="J9" s="176" t="str">
        <f t="shared" si="4"/>
        <v>s</v>
      </c>
      <c r="K9" s="176" t="str">
        <f t="shared" si="5"/>
        <v>ㄋ</v>
      </c>
      <c r="M9" s="161">
        <v>7</v>
      </c>
      <c r="N9" s="175" t="str">
        <f t="shared" si="0"/>
        <v>k</v>
      </c>
      <c r="O9" s="175" t="str">
        <f t="shared" si="1"/>
        <v>ㄍ</v>
      </c>
      <c r="Q9" s="161">
        <v>7</v>
      </c>
      <c r="R9" s="164" t="str">
        <f t="shared" si="6"/>
        <v>s</v>
      </c>
      <c r="S9" s="178" t="str">
        <f t="shared" si="7"/>
        <v>n</v>
      </c>
      <c r="T9" s="231" t="str">
        <f xml:space="preserve"> IFERROR( INDEX($K$3:$K$44, MATCH(表格1_3345[[#This Row],[鍵盤按鍵]], $J$3:$J$44,0)), "")</f>
        <v>ㄋ</v>
      </c>
      <c r="X9" s="18">
        <f t="shared" si="8"/>
        <v>7</v>
      </c>
      <c r="Y9" s="141" t="s">
        <v>67</v>
      </c>
      <c r="Z9" s="100" t="s">
        <v>68</v>
      </c>
      <c r="AA9" s="90" t="str">
        <f xml:space="preserve"> IFERROR( INDEX(表格1_3345[字典編碼], MATCH($Y9, 表格1_3345[方音符號], 0)), "")</f>
        <v>n</v>
      </c>
      <c r="AB9" s="91" t="str">
        <f xml:space="preserve"> IFERROR( INDEX(表格1_3345[鍵盤按鍵], MATCH($Y9, 表格1_3345[方音符號], 0)), "")</f>
        <v>s</v>
      </c>
    </row>
    <row r="10" spans="1:30" ht="32.25">
      <c r="A10" s="219" t="s">
        <v>523</v>
      </c>
      <c r="E10" s="161" cm="1">
        <f t="array" ref="E10" xml:space="preserve"> ROW() - ROW($2:$2)</f>
        <v>8</v>
      </c>
      <c r="F10" s="191" t="str">
        <f t="shared" si="2"/>
        <v>d</v>
      </c>
      <c r="G10" s="192" t="str">
        <f t="shared" si="3"/>
        <v>x</v>
      </c>
      <c r="I10" s="161">
        <v>8</v>
      </c>
      <c r="J10" s="176" t="str">
        <f t="shared" si="4"/>
        <v>x</v>
      </c>
      <c r="K10" s="176" t="str">
        <f t="shared" si="5"/>
        <v>ㄌ</v>
      </c>
      <c r="M10" s="161">
        <v>8</v>
      </c>
      <c r="N10" s="175" t="str">
        <f t="shared" si="0"/>
        <v>K</v>
      </c>
      <c r="O10" s="175" t="str">
        <f t="shared" si="1"/>
        <v>ㄎ</v>
      </c>
      <c r="Q10" s="161">
        <v>8</v>
      </c>
      <c r="R10" s="246" t="str">
        <f t="shared" si="6"/>
        <v>x</v>
      </c>
      <c r="S10" s="247" t="str">
        <f t="shared" si="7"/>
        <v>d</v>
      </c>
      <c r="T10" s="248" t="str">
        <f xml:space="preserve"> IFERROR( INDEX($K$3:$K$44, MATCH(表格1_3345[[#This Row],[鍵盤按鍵]], $J$3:$J$44,0)), "")</f>
        <v>ㄌ</v>
      </c>
      <c r="X10" s="19">
        <f t="shared" si="8"/>
        <v>8</v>
      </c>
      <c r="Y10" s="143" t="s">
        <v>92</v>
      </c>
      <c r="Z10" s="102" t="s">
        <v>93</v>
      </c>
      <c r="AA10" s="95" t="str">
        <f xml:space="preserve"> IFERROR( INDEX(表格1_3345[字典編碼], MATCH($Y10, 表格1_3345[方音符號], 0)), "")</f>
        <v>d</v>
      </c>
      <c r="AB10" s="96" t="str">
        <f xml:space="preserve"> IFERROR( INDEX(表格1_3345[鍵盤按鍵], MATCH($Y10, 表格1_3345[方音符號], 0)), "")</f>
        <v>x</v>
      </c>
    </row>
    <row r="11" spans="1:30" ht="32.25">
      <c r="A11" s="233" t="s">
        <v>605</v>
      </c>
      <c r="E11" s="161" cm="1">
        <f t="array" ref="E11" xml:space="preserve"> ROW() - ROW($2:$2)</f>
        <v>9</v>
      </c>
      <c r="F11" s="172" t="str">
        <f t="shared" si="2"/>
        <v>k</v>
      </c>
      <c r="G11" s="173" t="str">
        <f t="shared" si="3"/>
        <v>e</v>
      </c>
      <c r="I11" s="161">
        <v>9</v>
      </c>
      <c r="J11" s="176" t="str">
        <f t="shared" si="4"/>
        <v>e</v>
      </c>
      <c r="K11" s="176" t="str">
        <f t="shared" si="5"/>
        <v>ㄍ</v>
      </c>
      <c r="M11" s="161">
        <v>9</v>
      </c>
      <c r="N11" s="175" t="str">
        <f t="shared" si="0"/>
        <v>g</v>
      </c>
      <c r="O11" s="175" t="str">
        <f t="shared" si="1"/>
        <v>ㆣ</v>
      </c>
      <c r="Q11" s="161">
        <v>9</v>
      </c>
      <c r="R11" s="164" t="str">
        <f t="shared" si="6"/>
        <v>e</v>
      </c>
      <c r="S11" s="178" t="str">
        <f t="shared" si="7"/>
        <v>k</v>
      </c>
      <c r="T11" s="231" t="str">
        <f xml:space="preserve"> IFERROR( INDEX($K$3:$K$44, MATCH(表格1_3345[[#This Row],[鍵盤按鍵]], $J$3:$J$44,0)), "")</f>
        <v>ㄍ</v>
      </c>
      <c r="X11" s="14">
        <f t="shared" si="8"/>
        <v>9</v>
      </c>
      <c r="Y11" s="141" t="s">
        <v>41</v>
      </c>
      <c r="Z11" s="100" t="s">
        <v>42</v>
      </c>
      <c r="AA11" s="90" t="str">
        <f xml:space="preserve"> IFERROR( INDEX(表格1_3345[字典編碼], MATCH($Y11, 表格1_3345[方音符號], 0)), "")</f>
        <v>k</v>
      </c>
      <c r="AB11" s="91" t="str">
        <f xml:space="preserve"> IFERROR( INDEX(表格1_3345[鍵盤按鍵], MATCH($Y11, 表格1_3345[方音符號], 0)), "")</f>
        <v>e</v>
      </c>
    </row>
    <row r="12" spans="1:30" ht="32.25">
      <c r="A12" s="161">
        <f xml:space="preserve"> SEARCH("|",$A$11,1)</f>
        <v>7</v>
      </c>
      <c r="E12" s="161" cm="1">
        <f t="array" ref="E12" xml:space="preserve"> ROW() - ROW($2:$2)</f>
        <v>10</v>
      </c>
      <c r="F12" s="181" t="str">
        <f t="shared" si="2"/>
        <v>K</v>
      </c>
      <c r="G12" s="182" t="str">
        <f t="shared" si="3"/>
        <v>d</v>
      </c>
      <c r="I12" s="161">
        <v>10</v>
      </c>
      <c r="J12" s="176" t="str">
        <f t="shared" si="4"/>
        <v>d</v>
      </c>
      <c r="K12" s="176" t="str">
        <f t="shared" si="5"/>
        <v>ㄎ</v>
      </c>
      <c r="M12" s="161">
        <v>10</v>
      </c>
      <c r="N12" s="175" t="str">
        <f t="shared" si="0"/>
        <v>c</v>
      </c>
      <c r="O12" s="175" t="str">
        <f t="shared" si="1"/>
        <v>ㄗ</v>
      </c>
      <c r="Q12" s="161">
        <v>10</v>
      </c>
      <c r="R12" s="164" t="str">
        <f t="shared" si="6"/>
        <v>d</v>
      </c>
      <c r="S12" s="178" t="str">
        <f t="shared" si="7"/>
        <v>K</v>
      </c>
      <c r="T12" s="231" t="str">
        <f xml:space="preserve"> IFERROR( INDEX($K$3:$K$44, MATCH(表格1_3345[[#This Row],[鍵盤按鍵]], $J$3:$J$44,0)), "")</f>
        <v>ㄎ</v>
      </c>
      <c r="X12" s="14">
        <f t="shared" si="8"/>
        <v>10</v>
      </c>
      <c r="Y12" s="141" t="s">
        <v>69</v>
      </c>
      <c r="Z12" s="100" t="s">
        <v>127</v>
      </c>
      <c r="AA12" s="90" t="str">
        <f xml:space="preserve"> IFERROR( INDEX(表格1_3345[字典編碼], MATCH($Y12, 表格1_3345[方音符號], 0)), "")</f>
        <v>K</v>
      </c>
      <c r="AB12" s="91" t="str">
        <f xml:space="preserve"> IFERROR( INDEX(表格1_3345[鍵盤按鍵], MATCH($Y12, 表格1_3345[方音符號], 0)), "")</f>
        <v>d</v>
      </c>
    </row>
    <row r="13" spans="1:30" ht="32.25">
      <c r="A13" s="161">
        <f xml:space="preserve"> SEARCH("|",$A$11,A12+1)</f>
        <v>49</v>
      </c>
      <c r="E13" s="161" cm="1">
        <f t="array" ref="E13" xml:space="preserve"> ROW() - ROW($2:$2)</f>
        <v>11</v>
      </c>
      <c r="F13" s="191" t="str">
        <f t="shared" si="2"/>
        <v>h</v>
      </c>
      <c r="G13" s="192" t="str">
        <f t="shared" si="3"/>
        <v>c</v>
      </c>
      <c r="I13" s="161">
        <v>11</v>
      </c>
      <c r="J13" s="176" t="str">
        <f t="shared" si="4"/>
        <v>c</v>
      </c>
      <c r="K13" s="176" t="str">
        <f t="shared" si="5"/>
        <v>ㄏ</v>
      </c>
      <c r="M13" s="161">
        <v>11</v>
      </c>
      <c r="N13" s="175" t="str">
        <f t="shared" si="0"/>
        <v>C</v>
      </c>
      <c r="O13" s="175" t="str">
        <f t="shared" si="1"/>
        <v>ㄘ</v>
      </c>
      <c r="Q13" s="161">
        <v>11</v>
      </c>
      <c r="R13" s="164" t="str">
        <f t="shared" si="6"/>
        <v>c</v>
      </c>
      <c r="S13" s="178" t="str">
        <f t="shared" si="7"/>
        <v>h</v>
      </c>
      <c r="T13" s="231" t="str">
        <f xml:space="preserve"> IFERROR( INDEX($K$3:$K$44, MATCH(表格1_3345[[#This Row],[鍵盤按鍵]], $J$3:$J$44,0)), "")</f>
        <v>ㄏ</v>
      </c>
      <c r="X13" s="14">
        <f t="shared" si="8"/>
        <v>11</v>
      </c>
      <c r="Y13" s="141" t="s">
        <v>44</v>
      </c>
      <c r="Z13" s="100" t="s">
        <v>126</v>
      </c>
      <c r="AA13" s="90" t="str">
        <f xml:space="preserve"> IFERROR( INDEX(表格1_3345[字典編碼], MATCH($Y13, 表格1_3345[方音符號], 0)), "")</f>
        <v>g</v>
      </c>
      <c r="AB13" s="91" t="str">
        <f xml:space="preserve"> IFERROR( INDEX(表格1_3345[鍵盤按鍵], MATCH($Y13, 表格1_3345[方音符號], 0)), "")</f>
        <v>t</v>
      </c>
    </row>
    <row r="14" spans="1:30" ht="32.25">
      <c r="A14" s="161">
        <f xml:space="preserve"> SEARCH("|",$A$11,A13+1)</f>
        <v>91</v>
      </c>
      <c r="E14" s="161" cm="1">
        <f t="array" ref="E14" xml:space="preserve"> ROW() - ROW($2:$2)</f>
        <v>12</v>
      </c>
      <c r="F14" s="172" t="str">
        <f t="shared" si="2"/>
        <v>j</v>
      </c>
      <c r="G14" s="173" t="str">
        <f t="shared" si="3"/>
        <v>r</v>
      </c>
      <c r="I14" s="161">
        <v>12</v>
      </c>
      <c r="J14" s="176" t="str">
        <f t="shared" si="4"/>
        <v>r</v>
      </c>
      <c r="K14" s="176" t="str">
        <f t="shared" si="5"/>
        <v>ㄐ</v>
      </c>
      <c r="M14" s="161">
        <v>12</v>
      </c>
      <c r="N14" s="175" t="str">
        <f t="shared" si="0"/>
        <v>z</v>
      </c>
      <c r="O14" s="175" t="str">
        <f t="shared" si="1"/>
        <v>ㆡ</v>
      </c>
      <c r="Q14" s="161">
        <v>12</v>
      </c>
      <c r="R14" s="164" t="str">
        <f t="shared" si="6"/>
        <v>r</v>
      </c>
      <c r="S14" s="178" t="str">
        <f t="shared" si="7"/>
        <v>j</v>
      </c>
      <c r="T14" s="231" t="str">
        <f xml:space="preserve"> IFERROR( INDEX($K$3:$K$44, MATCH(表格1_3345[[#This Row],[鍵盤按鍵]], $J$3:$J$44,0)), "")</f>
        <v>ㄐ</v>
      </c>
      <c r="X14" s="14">
        <f t="shared" si="8"/>
        <v>12</v>
      </c>
      <c r="Y14" s="141" t="s">
        <v>72</v>
      </c>
      <c r="Z14" s="100" t="s">
        <v>128</v>
      </c>
      <c r="AA14" s="92" t="str">
        <f xml:space="preserve"> IFERROR( INDEX(表格1_3345[字典編碼], MATCH($Y14, 表格1_3345[方音符號], 0)), "")</f>
        <v>q</v>
      </c>
      <c r="AB14" s="91" t="str">
        <f xml:space="preserve"> IFERROR( INDEX(表格1_3345[鍵盤按鍵], MATCH($Y14, 表格1_3345[方音符號], 0)), "")</f>
        <v>g</v>
      </c>
    </row>
    <row r="15" spans="1:30" ht="32.25">
      <c r="A15" s="216" t="str">
        <f xml:space="preserve"> MID($A$11,A12+1, A13-A12-1)</f>
        <v>1qaz2wsxedcrfvtgbyhnujm8ik,9ol.0p;/-43657</v>
      </c>
      <c r="B15" s="217">
        <f xml:space="preserve"> LEN(A15)</f>
        <v>41</v>
      </c>
      <c r="E15" s="161" cm="1">
        <f t="array" ref="E15" xml:space="preserve"> ROW() - ROW($2:$2)</f>
        <v>13</v>
      </c>
      <c r="F15" s="181" t="str">
        <f t="shared" si="2"/>
        <v>J</v>
      </c>
      <c r="G15" s="182" t="str">
        <f t="shared" si="3"/>
        <v>f</v>
      </c>
      <c r="I15" s="161">
        <v>13</v>
      </c>
      <c r="J15" s="176" t="str">
        <f t="shared" si="4"/>
        <v>f</v>
      </c>
      <c r="K15" s="176" t="str">
        <f t="shared" si="5"/>
        <v>ㄑ</v>
      </c>
      <c r="M15" s="161">
        <v>13</v>
      </c>
      <c r="N15" s="175" t="str">
        <f t="shared" si="0"/>
        <v>s</v>
      </c>
      <c r="O15" s="175" t="str">
        <f t="shared" si="1"/>
        <v>ㄙ</v>
      </c>
      <c r="Q15" s="161">
        <v>13</v>
      </c>
      <c r="R15" s="164" t="str">
        <f t="shared" si="6"/>
        <v>f</v>
      </c>
      <c r="S15" s="178" t="str">
        <f t="shared" si="7"/>
        <v>J</v>
      </c>
      <c r="T15" s="231" t="str">
        <f xml:space="preserve"> IFERROR( INDEX($K$3:$K$44, MATCH(表格1_3345[[#This Row],[鍵盤按鍵]], $J$3:$J$44,0)), "")</f>
        <v>ㄑ</v>
      </c>
      <c r="X15" s="17">
        <f t="shared" si="8"/>
        <v>13</v>
      </c>
      <c r="Y15" s="142" t="s">
        <v>46</v>
      </c>
      <c r="Z15" s="101" t="s">
        <v>47</v>
      </c>
      <c r="AA15" s="93" t="str">
        <f xml:space="preserve"> IFERROR( INDEX(表格1_3345[字典編碼], MATCH($Y15, 表格1_3345[方音符號], 0)), "")</f>
        <v>c</v>
      </c>
      <c r="AB15" s="94" t="str">
        <f xml:space="preserve"> IFERROR( INDEX(表格1_3345[鍵盤按鍵], MATCH($Y15, 表格1_3345[方音符號], 0)), "")</f>
        <v>y</v>
      </c>
    </row>
    <row r="16" spans="1:30" ht="32.25">
      <c r="A16" s="216" t="str">
        <f xml:space="preserve"> MID($A$11,A13+1, A14-A13-1)</f>
        <v>ㄅㄆㄇㆠㄉㄊㄋㄌㄍㄎㄏㄐㄑㄒㆣㄫㆡㄗㄘㄙㄧㄨㆬㄚㆦㄜㆰㄞㆤㄠㆲㄢㄣㄤㆭｎˋ˪ˊ˫．</v>
      </c>
      <c r="B16" s="217">
        <f xml:space="preserve"> LEN(A16)</f>
        <v>41</v>
      </c>
      <c r="E16" s="161" cm="1">
        <f t="array" ref="E16" xml:space="preserve"> ROW() - ROW($2:$2)</f>
        <v>14</v>
      </c>
      <c r="F16" s="186" t="str">
        <f t="shared" si="2"/>
        <v>S</v>
      </c>
      <c r="G16" s="187" t="str">
        <f t="shared" si="3"/>
        <v>v</v>
      </c>
      <c r="I16" s="161">
        <v>14</v>
      </c>
      <c r="J16" s="176" t="str">
        <f t="shared" si="4"/>
        <v>v</v>
      </c>
      <c r="K16" s="176" t="str">
        <f t="shared" si="5"/>
        <v>ㄒ</v>
      </c>
      <c r="M16" s="161">
        <v>14</v>
      </c>
      <c r="N16" s="175" t="str">
        <f t="shared" si="0"/>
        <v>h</v>
      </c>
      <c r="O16" s="175" t="str">
        <f t="shared" si="1"/>
        <v>ㄏ</v>
      </c>
      <c r="Q16" s="161">
        <v>14</v>
      </c>
      <c r="R16" s="164" t="str">
        <f t="shared" si="6"/>
        <v>v</v>
      </c>
      <c r="S16" s="178" t="str">
        <f t="shared" si="7"/>
        <v>S</v>
      </c>
      <c r="T16" s="231" t="str">
        <f xml:space="preserve"> IFERROR( INDEX($K$3:$K$44, MATCH(表格1_3345[[#This Row],[鍵盤按鍵]], $J$3:$J$44,0)), "")</f>
        <v>ㄒ</v>
      </c>
      <c r="X16" s="18">
        <f t="shared" si="8"/>
        <v>14</v>
      </c>
      <c r="Y16" s="141" t="s">
        <v>74</v>
      </c>
      <c r="Z16" s="100" t="s">
        <v>135</v>
      </c>
      <c r="AA16" s="90" t="str">
        <f xml:space="preserve"> IFERROR( INDEX(表格1_3345[字典編碼], MATCH($Y16, 表格1_3345[方音符號], 0)), "")</f>
        <v>C</v>
      </c>
      <c r="AB16" s="91" t="str">
        <f xml:space="preserve"> IFERROR( INDEX(表格1_3345[鍵盤按鍵], MATCH($Y16, 表格1_3345[方音符號], 0)), "")</f>
        <v>h</v>
      </c>
    </row>
    <row r="17" spans="1:47" ht="32.25">
      <c r="E17" s="161" cm="1">
        <f t="array" ref="E17" xml:space="preserve"> ROW() - ROW($2:$2)</f>
        <v>15</v>
      </c>
      <c r="F17" s="172" t="str">
        <f t="shared" si="2"/>
        <v>g</v>
      </c>
      <c r="G17" s="173" t="str">
        <f t="shared" si="3"/>
        <v>t</v>
      </c>
      <c r="I17" s="161">
        <v>15</v>
      </c>
      <c r="J17" s="176" t="str">
        <f t="shared" si="4"/>
        <v>t</v>
      </c>
      <c r="K17" s="176" t="str">
        <f t="shared" si="5"/>
        <v>ㆣ</v>
      </c>
      <c r="M17" s="161">
        <v>15</v>
      </c>
      <c r="N17" s="175" t="str">
        <f t="shared" si="0"/>
        <v>i</v>
      </c>
      <c r="O17" s="175" t="str">
        <f t="shared" si="1"/>
        <v>ㄧ</v>
      </c>
      <c r="Q17" s="161">
        <v>15</v>
      </c>
      <c r="R17" s="164" t="str">
        <f t="shared" si="6"/>
        <v>t</v>
      </c>
      <c r="S17" s="178" t="str">
        <f t="shared" si="7"/>
        <v>g</v>
      </c>
      <c r="T17" s="231" t="str">
        <f xml:space="preserve"> IFERROR( INDEX($K$3:$K$44, MATCH(表格1_3345[[#This Row],[鍵盤按鍵]], $J$3:$J$44,0)), "")</f>
        <v>ㆣ</v>
      </c>
      <c r="X17" s="18">
        <f t="shared" si="8"/>
        <v>15</v>
      </c>
      <c r="Y17" s="141" t="s">
        <v>106</v>
      </c>
      <c r="Z17" s="100" t="s">
        <v>134</v>
      </c>
      <c r="AA17" s="90" t="str">
        <f xml:space="preserve"> IFERROR( INDEX(表格1_3345[字典編碼], MATCH($Y17, 表格1_3345[方音符號], 0)), "")</f>
        <v>z</v>
      </c>
      <c r="AB17" s="91" t="str">
        <f xml:space="preserve"> IFERROR( INDEX(表格1_3345[鍵盤按鍵], MATCH($Y17, 表格1_3345[方音符號], 0)), "")</f>
        <v>b</v>
      </c>
    </row>
    <row r="18" spans="1:47" ht="32.25">
      <c r="E18" s="161" cm="1">
        <f t="array" ref="E18" xml:space="preserve"> ROW() - ROW($2:$2)</f>
        <v>16</v>
      </c>
      <c r="F18" s="181" t="str">
        <f t="shared" si="2"/>
        <v>q</v>
      </c>
      <c r="G18" s="182" t="str">
        <f t="shared" si="3"/>
        <v>g</v>
      </c>
      <c r="I18" s="161">
        <v>16</v>
      </c>
      <c r="J18" s="176" t="str">
        <f t="shared" si="4"/>
        <v>g</v>
      </c>
      <c r="K18" s="176" t="str">
        <f t="shared" si="5"/>
        <v>ㄫ</v>
      </c>
      <c r="M18" s="161">
        <v>16</v>
      </c>
      <c r="N18" s="175" t="str">
        <f t="shared" si="0"/>
        <v>u</v>
      </c>
      <c r="O18" s="175" t="str">
        <f t="shared" si="1"/>
        <v>ㄨ</v>
      </c>
      <c r="Q18" s="161">
        <v>16</v>
      </c>
      <c r="R18" s="244" t="str">
        <f>G18</f>
        <v>g</v>
      </c>
      <c r="S18" s="245" t="str">
        <f t="shared" si="7"/>
        <v>q</v>
      </c>
      <c r="T18" s="231" t="str">
        <f xml:space="preserve"> IFERROR( INDEX($K$3:$K$44, MATCH(表格1_3345[[#This Row],[鍵盤按鍵]], $J$3:$J$44,0)), "")</f>
        <v>ㄫ</v>
      </c>
      <c r="X18" s="19">
        <f t="shared" si="8"/>
        <v>16</v>
      </c>
      <c r="Y18" s="143" t="s">
        <v>98</v>
      </c>
      <c r="Z18" s="102" t="s">
        <v>136</v>
      </c>
      <c r="AA18" s="95" t="str">
        <f xml:space="preserve"> IFERROR( INDEX(表格1_3345[字典編碼], MATCH($Y18, 表格1_3345[方音符號], 0)), "")</f>
        <v>s</v>
      </c>
      <c r="AB18" s="96" t="str">
        <f xml:space="preserve"> IFERROR( INDEX(表格1_3345[鍵盤按鍵], MATCH($Y18, 表格1_3345[方音符號], 0)), "")</f>
        <v>n</v>
      </c>
      <c r="AD18" s="238" t="s">
        <v>608</v>
      </c>
      <c r="AF18" s="242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61" cm="1">
        <f t="array" ref="E19" xml:space="preserve"> ROW() - ROW($2:$2)</f>
        <v>17</v>
      </c>
      <c r="F19" s="186" t="str">
        <f t="shared" si="2"/>
        <v>z</v>
      </c>
      <c r="G19" s="187" t="str">
        <f t="shared" si="3"/>
        <v>b</v>
      </c>
      <c r="I19" s="161">
        <v>17</v>
      </c>
      <c r="J19" s="176" t="str">
        <f t="shared" si="4"/>
        <v>b</v>
      </c>
      <c r="K19" s="176" t="str">
        <f t="shared" si="5"/>
        <v>ㆡ</v>
      </c>
      <c r="M19" s="161">
        <v>17</v>
      </c>
      <c r="N19" s="175" t="str">
        <f t="shared" si="0"/>
        <v>a</v>
      </c>
      <c r="O19" s="175" t="str">
        <f t="shared" si="1"/>
        <v>ㄚ</v>
      </c>
      <c r="Q19" s="161">
        <v>17</v>
      </c>
      <c r="R19" s="164" t="str">
        <f t="shared" si="6"/>
        <v>b</v>
      </c>
      <c r="S19" s="178" t="str">
        <f t="shared" si="7"/>
        <v>z</v>
      </c>
      <c r="T19" s="231" t="str">
        <f xml:space="preserve"> IFERROR( INDEX($K$3:$K$44, MATCH(表格1_3345[[#This Row],[鍵盤按鍵]], $J$3:$J$44,0)), "")</f>
        <v>ㆡ</v>
      </c>
      <c r="X19" s="14">
        <f t="shared" si="8"/>
        <v>17</v>
      </c>
      <c r="Y19" s="141" t="s">
        <v>43</v>
      </c>
      <c r="Z19" s="100" t="s">
        <v>130</v>
      </c>
      <c r="AA19" s="90" t="str">
        <f xml:space="preserve"> IFERROR( INDEX(表格1_3345[字典編碼], MATCH($Y19, 表格1_3345[方音符號], 0)), "")</f>
        <v>j</v>
      </c>
      <c r="AB19" s="91" t="str">
        <f xml:space="preserve"> IFERROR( INDEX(表格1_3345[鍵盤按鍵], MATCH($Y19, 表格1_3345[方音符號], 0)), "")</f>
        <v>r</v>
      </c>
      <c r="AD19" s="221" t="s">
        <v>603</v>
      </c>
      <c r="AE19" s="219">
        <f xml:space="preserve"> LEN(AF19)</f>
        <v>42</v>
      </c>
      <c r="AF19" s="241" t="str">
        <f xml:space="preserve"> _xlfn.CONCAT(F$3:F$44)</f>
        <v>pPmbtTndkKhjJSgqzcCsiuBaOoMIeUYLDQGN123570</v>
      </c>
      <c r="AS19" s="249" t="s">
        <v>613</v>
      </c>
      <c r="AT19" s="251" t="s">
        <v>202</v>
      </c>
      <c r="AU19" s="170">
        <f xml:space="preserve"> FIND(AT19, AF19)</f>
        <v>35</v>
      </c>
    </row>
    <row r="20" spans="1:47" ht="32.25">
      <c r="A20" s="219" t="s">
        <v>535</v>
      </c>
      <c r="E20" s="161" cm="1">
        <f t="array" ref="E20" xml:space="preserve"> ROW() - ROW($2:$2)</f>
        <v>18</v>
      </c>
      <c r="F20" s="197" t="str">
        <f t="shared" si="2"/>
        <v>c</v>
      </c>
      <c r="G20" s="198" t="str">
        <f t="shared" si="3"/>
        <v>y</v>
      </c>
      <c r="I20" s="161">
        <v>18</v>
      </c>
      <c r="J20" s="176" t="str">
        <f t="shared" si="4"/>
        <v>y</v>
      </c>
      <c r="K20" s="176" t="str">
        <f t="shared" si="5"/>
        <v>ㄗ</v>
      </c>
      <c r="M20" s="161">
        <v>18</v>
      </c>
      <c r="N20" s="175" t="s">
        <v>207</v>
      </c>
      <c r="O20" s="175" t="str">
        <f t="shared" si="1"/>
        <v>ㆦ</v>
      </c>
      <c r="Q20" s="161">
        <v>18</v>
      </c>
      <c r="R20" s="164" t="str">
        <f t="shared" si="6"/>
        <v>y</v>
      </c>
      <c r="S20" s="178" t="str">
        <f t="shared" si="7"/>
        <v>c</v>
      </c>
      <c r="T20" s="231" t="str">
        <f xml:space="preserve"> IFERROR( INDEX($K$3:$K$44, MATCH(表格1_3345[[#This Row],[鍵盤按鍵]], $J$3:$J$44,0)), "")</f>
        <v>ㄗ</v>
      </c>
      <c r="X20" s="14">
        <f t="shared" si="8"/>
        <v>18</v>
      </c>
      <c r="Y20" s="141" t="s">
        <v>71</v>
      </c>
      <c r="Z20" s="100" t="s">
        <v>132</v>
      </c>
      <c r="AA20" s="90" t="str">
        <f xml:space="preserve"> IFERROR( INDEX(表格1_3345[字典編碼], MATCH($Y20, 表格1_3345[方音符號], 0)), "")</f>
        <v>J</v>
      </c>
      <c r="AB20" s="91" t="str">
        <f xml:space="preserve"> IFERROR( INDEX(表格1_3345[鍵盤按鍵], MATCH($Y20, 表格1_3345[方音符號], 0)), "")</f>
        <v>f</v>
      </c>
      <c r="AD20" s="236" t="s">
        <v>606</v>
      </c>
      <c r="AE20" s="219">
        <f xml:space="preserve"> LEN(AF20)</f>
        <v>42</v>
      </c>
      <c r="AF20" s="241" t="str">
        <f xml:space="preserve"> _xlfn.CONCAT(G$3:G$44)</f>
        <v>1qaz2wsxedcrfvtgbyhnujm8ik,9ol.0p;/- 43657</v>
      </c>
      <c r="AO20" s="239" t="str">
        <f xml:space="preserve"> MID("/", AE19, 1)</f>
        <v/>
      </c>
      <c r="AT20" s="239" t="str">
        <f xml:space="preserve"> MID(AF20, AU19, 1)</f>
        <v>/</v>
      </c>
      <c r="AU20" s="170"/>
    </row>
    <row r="21" spans="1:47" ht="32.25">
      <c r="A21" s="233" t="s">
        <v>611</v>
      </c>
      <c r="E21" s="161" cm="1">
        <f t="array" ref="E21" xml:space="preserve"> ROW() - ROW($2:$2)</f>
        <v>19</v>
      </c>
      <c r="F21" s="202" t="str">
        <f t="shared" si="2"/>
        <v>C</v>
      </c>
      <c r="G21" s="203" t="str">
        <f t="shared" si="3"/>
        <v>h</v>
      </c>
      <c r="I21" s="161">
        <v>19</v>
      </c>
      <c r="J21" s="176" t="str">
        <f t="shared" si="4"/>
        <v>h</v>
      </c>
      <c r="K21" s="176" t="str">
        <f t="shared" si="5"/>
        <v>ㄘ</v>
      </c>
      <c r="M21" s="161">
        <v>19</v>
      </c>
      <c r="N21" s="175" t="s">
        <v>139</v>
      </c>
      <c r="O21" s="175" t="str">
        <f t="shared" si="1"/>
        <v>ㄜ</v>
      </c>
      <c r="Q21" s="161">
        <v>19</v>
      </c>
      <c r="R21" s="164" t="str">
        <f t="shared" si="6"/>
        <v>h</v>
      </c>
      <c r="S21" s="178" t="str">
        <f t="shared" si="7"/>
        <v>C</v>
      </c>
      <c r="T21" s="231" t="str">
        <f xml:space="preserve"> IFERROR( INDEX($K$3:$K$44, MATCH(表格1_3345[[#This Row],[鍵盤按鍵]], $J$3:$J$44,0)), "")</f>
        <v>ㄘ</v>
      </c>
      <c r="X21" s="14">
        <f t="shared" si="8"/>
        <v>19</v>
      </c>
      <c r="Y21" s="141" t="s">
        <v>105</v>
      </c>
      <c r="Z21" s="100" t="s">
        <v>131</v>
      </c>
      <c r="AA21" s="90" t="str">
        <f xml:space="preserve"> IFERROR( INDEX(表格1_3345[字典編碼], MATCH($Y21, 表格1_3345[方音符號], 0)), "")</f>
        <v/>
      </c>
      <c r="AB21" s="91" t="str">
        <f xml:space="preserve"> IFERROR( INDEX(表格1_3345[鍵盤按鍵], MATCH($Y21, 表格1_3345[方音符號], 0)), "")</f>
        <v/>
      </c>
      <c r="AF21" s="239"/>
    </row>
    <row r="22" spans="1:47" ht="32.25">
      <c r="A22" s="161">
        <f xml:space="preserve"> SEARCH("|",A21,1)</f>
        <v>7</v>
      </c>
      <c r="E22" s="161" cm="1">
        <f t="array" ref="E22" xml:space="preserve"> ROW() - ROW($2:$2)</f>
        <v>20</v>
      </c>
      <c r="F22" s="186" t="str">
        <f t="shared" si="2"/>
        <v>s</v>
      </c>
      <c r="G22" s="187" t="str">
        <f t="shared" si="3"/>
        <v>n</v>
      </c>
      <c r="I22" s="161">
        <v>20</v>
      </c>
      <c r="J22" s="176" t="str">
        <f t="shared" si="4"/>
        <v>n</v>
      </c>
      <c r="K22" s="176" t="str">
        <f t="shared" si="5"/>
        <v>ㄙ</v>
      </c>
      <c r="M22" s="161">
        <v>20</v>
      </c>
      <c r="N22" s="175" t="str">
        <f t="shared" ref="N22:N44" si="9" xml:space="preserve"> IFERROR( MID($A$25, $E22, 1), "")</f>
        <v>e</v>
      </c>
      <c r="O22" s="175" t="str">
        <f t="shared" si="1"/>
        <v>ㆤ</v>
      </c>
      <c r="Q22" s="161">
        <v>20</v>
      </c>
      <c r="R22" s="164" t="str">
        <f t="shared" si="6"/>
        <v>n</v>
      </c>
      <c r="S22" s="178" t="str">
        <f t="shared" si="7"/>
        <v>s</v>
      </c>
      <c r="T22" s="231" t="str">
        <f xml:space="preserve"> IFERROR( INDEX($K$3:$K$44, MATCH(表格1_3345[[#This Row],[鍵盤按鍵]], $J$3:$J$44,0)), "")</f>
        <v>ㄙ</v>
      </c>
      <c r="X22" s="14">
        <f t="shared" si="8"/>
        <v>20</v>
      </c>
      <c r="Y22" s="141" t="s">
        <v>198</v>
      </c>
      <c r="Z22" s="100" t="s">
        <v>133</v>
      </c>
      <c r="AA22" s="90" t="str">
        <f xml:space="preserve"> IFERROR( INDEX(表格1_3345[字典編碼], MATCH($Y22, 表格1_3345[方音符號], 0)), "")</f>
        <v>S</v>
      </c>
      <c r="AB22" s="91" t="str">
        <f xml:space="preserve"> IFERROR( INDEX(表格1_3345[鍵盤按鍵], MATCH($Y22, 表格1_3345[方音符號], 0)), "")</f>
        <v>v</v>
      </c>
      <c r="AD22" s="238" t="s">
        <v>609</v>
      </c>
      <c r="AF22" s="243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61">
        <f xml:space="preserve"> SEARCH("|",A21,A22+1)</f>
        <v>34</v>
      </c>
      <c r="E23" s="161" cm="1">
        <f t="array" ref="E23" xml:space="preserve"> ROW() - ROW($2:$2)</f>
        <v>21</v>
      </c>
      <c r="F23" s="206" t="str">
        <f t="shared" si="2"/>
        <v>i</v>
      </c>
      <c r="G23" s="206" t="str">
        <f t="shared" si="3"/>
        <v>u</v>
      </c>
      <c r="I23" s="161">
        <v>21</v>
      </c>
      <c r="J23" s="176" t="str">
        <f t="shared" si="4"/>
        <v>u</v>
      </c>
      <c r="K23" s="176" t="str">
        <f t="shared" si="5"/>
        <v>ㄧ</v>
      </c>
      <c r="M23" s="161">
        <v>21</v>
      </c>
      <c r="N23" s="175" t="str">
        <f t="shared" si="9"/>
        <v>I</v>
      </c>
      <c r="O23" s="175" t="str">
        <f t="shared" si="1"/>
        <v>ㄞ</v>
      </c>
      <c r="Q23" s="161">
        <v>21</v>
      </c>
      <c r="R23" s="164" t="str">
        <f t="shared" si="6"/>
        <v>u</v>
      </c>
      <c r="S23" s="178" t="str">
        <f t="shared" si="7"/>
        <v>i</v>
      </c>
      <c r="T23" s="231" t="str">
        <f xml:space="preserve"> IFERROR( INDEX($K$3:$K$44, MATCH(表格1_3345[[#This Row],[鍵盤按鍵]], $J$3:$J$44,0)), "")</f>
        <v>ㄧ</v>
      </c>
      <c r="X23" s="16">
        <f t="shared" si="8"/>
        <v>21</v>
      </c>
      <c r="Y23" s="144" t="s">
        <v>94</v>
      </c>
      <c r="Z23" s="103" t="s">
        <v>129</v>
      </c>
      <c r="AA23" s="97" t="str">
        <f xml:space="preserve"> IFERROR( INDEX(表格1_3345[字典編碼], MATCH($Y23, 表格1_3345[方音符號], 0)), "")</f>
        <v>h</v>
      </c>
      <c r="AB23" s="98" t="str">
        <f xml:space="preserve"> IFERROR( INDEX(表格1_3345[鍵盤按鍵], MATCH($Y23, 表格1_3345[方音符號], 0)), "")</f>
        <v>c</v>
      </c>
      <c r="AD23" s="236" t="s">
        <v>606</v>
      </c>
      <c r="AE23" s="219">
        <f xml:space="preserve"> LEN(AF23)</f>
        <v>41</v>
      </c>
      <c r="AF23" s="241" t="str">
        <f xml:space="preserve"> _xlfn.CONCAT(J$3:J$43)</f>
        <v>1qaz2wsxedcrfvtgbyhnujm8ik,9ol.0p;/-43657</v>
      </c>
      <c r="AS23" s="249" t="s">
        <v>613</v>
      </c>
      <c r="AT23" s="250" t="str">
        <f>AT20</f>
        <v>/</v>
      </c>
      <c r="AU23" s="170">
        <f xml:space="preserve"> FIND(AT23, AF23)</f>
        <v>35</v>
      </c>
    </row>
    <row r="24" spans="1:47" ht="32.25">
      <c r="A24" s="161">
        <f xml:space="preserve"> SEARCH("|",A21,A23+1)</f>
        <v>61</v>
      </c>
      <c r="E24" s="161" cm="1">
        <f t="array" ref="E24" xml:space="preserve"> ROW() - ROW($2:$2)</f>
        <v>22</v>
      </c>
      <c r="F24" s="206" t="str">
        <f t="shared" si="2"/>
        <v>u</v>
      </c>
      <c r="G24" s="206" t="str">
        <f t="shared" si="3"/>
        <v>j</v>
      </c>
      <c r="I24" s="161">
        <v>22</v>
      </c>
      <c r="J24" s="176" t="str">
        <f t="shared" si="4"/>
        <v>j</v>
      </c>
      <c r="K24" s="176" t="str">
        <f t="shared" si="5"/>
        <v>ㄨ</v>
      </c>
      <c r="M24" s="161">
        <v>22</v>
      </c>
      <c r="N24" s="175" t="str">
        <f t="shared" si="9"/>
        <v>U</v>
      </c>
      <c r="O24" s="175" t="str">
        <f t="shared" si="1"/>
        <v>ㄠ</v>
      </c>
      <c r="Q24" s="161">
        <v>22</v>
      </c>
      <c r="R24" s="164" t="str">
        <f t="shared" si="6"/>
        <v>j</v>
      </c>
      <c r="S24" s="178" t="str">
        <f t="shared" si="7"/>
        <v>u</v>
      </c>
      <c r="T24" s="231" t="str">
        <f xml:space="preserve"> IFERROR( INDEX($K$3:$K$44, MATCH(表格1_3345[[#This Row],[鍵盤按鍵]], $J$3:$J$44,0)), "")</f>
        <v>ㄨ</v>
      </c>
      <c r="X24" s="20">
        <f t="shared" si="8"/>
        <v>22</v>
      </c>
      <c r="Y24" s="142" t="s">
        <v>20</v>
      </c>
      <c r="Z24" s="101" t="s">
        <v>137</v>
      </c>
      <c r="AA24" s="93" t="str">
        <f xml:space="preserve"> IFERROR( INDEX(表格1_3345[字典編碼], MATCH($Y24, 表格1_3345[方音符號], 0)), "")</f>
        <v>a</v>
      </c>
      <c r="AB24" s="94" t="str">
        <f xml:space="preserve"> IFERROR( INDEX(表格1_3345[鍵盤按鍵], MATCH($Y24, 表格1_3345[方音符號], 0)), "")</f>
        <v>8</v>
      </c>
      <c r="AD24" s="222" t="s">
        <v>292</v>
      </c>
      <c r="AE24" s="219">
        <f xml:space="preserve"> LEN(AF24)</f>
        <v>41</v>
      </c>
      <c r="AF24" s="241" t="str">
        <f xml:space="preserve"> _xlfn.CONCAT(K$3:K$43)</f>
        <v>ㄅㄆㄇㆠㄉㄊㄋㄌㄍㄎㄏㄐㄑㄒㆣㄫㆡㄗㄘㄙㄧㄨㆬㄚㆦㄜㆰㄞㆤㄠㆲㄢㄣㄤㆭｎˋ˪ˊ˫．</v>
      </c>
      <c r="AT24" s="239" t="str">
        <f xml:space="preserve"> MID(AF24, AU23, 1)</f>
        <v>ㆭ</v>
      </c>
      <c r="AU24" s="170"/>
    </row>
    <row r="25" spans="1:47" ht="32.25">
      <c r="A25" s="216" t="str">
        <f xml:space="preserve"> MID($A$21,A22+1, A23-A22-1)</f>
        <v>pPbtTdkKgcCzshiuaoøeIUBDGN</v>
      </c>
      <c r="B25" s="161">
        <f xml:space="preserve"> LEN(A25)</f>
        <v>26</v>
      </c>
      <c r="E25" s="161" cm="1">
        <f t="array" ref="E25" xml:space="preserve"> ROW() - ROW($2:$2)</f>
        <v>23</v>
      </c>
      <c r="F25" s="206" t="str">
        <f t="shared" si="2"/>
        <v>B</v>
      </c>
      <c r="G25" s="206" t="str">
        <f t="shared" si="3"/>
        <v>m</v>
      </c>
      <c r="I25" s="161">
        <v>23</v>
      </c>
      <c r="J25" s="176" t="str">
        <f t="shared" si="4"/>
        <v>m</v>
      </c>
      <c r="K25" s="176" t="str">
        <f t="shared" si="5"/>
        <v>ㆬ</v>
      </c>
      <c r="M25" s="161">
        <v>23</v>
      </c>
      <c r="N25" s="175" t="str">
        <f t="shared" si="9"/>
        <v>B</v>
      </c>
      <c r="O25" s="175" t="str">
        <f t="shared" si="1"/>
        <v>ㆬ</v>
      </c>
      <c r="Q25" s="161">
        <v>23</v>
      </c>
      <c r="R25" s="164" t="str">
        <f t="shared" si="6"/>
        <v>m</v>
      </c>
      <c r="S25" s="178" t="str">
        <f t="shared" si="7"/>
        <v>B</v>
      </c>
      <c r="T25" s="231" t="str">
        <f xml:space="preserve"> IFERROR( INDEX($K$3:$K$44, MATCH(表格1_3345[[#This Row],[鍵盤按鍵]], $J$3:$J$44,0)), "")</f>
        <v>ㆬ</v>
      </c>
      <c r="X25" s="14">
        <f t="shared" si="8"/>
        <v>23</v>
      </c>
      <c r="Y25" s="141" t="s">
        <v>107</v>
      </c>
      <c r="Z25" s="100" t="s">
        <v>138</v>
      </c>
      <c r="AA25" s="90" t="str">
        <f xml:space="preserve"> IFERROR( INDEX(表格1_3345[字典編碼], MATCH($Y25, 表格1_3345[方音符號], 0)), "")</f>
        <v/>
      </c>
      <c r="AB25" s="91" t="str">
        <f xml:space="preserve"> IFERROR( INDEX(表格1_3345[鍵盤按鍵], MATCH($Y25, 表格1_3345[方音符號], 0)), "")</f>
        <v/>
      </c>
      <c r="AG25" s="240"/>
    </row>
    <row r="26" spans="1:47" ht="32.25">
      <c r="A26" s="216" t="str">
        <f xml:space="preserve"> MID($A$21,A23+1, A24-A23-1)</f>
        <v>ㄅㄆㆠㄉㄊㄌㄍㄎㆣㄗㄘㆡㄙㄏㄧㄨㄚㆦㄜㆤㄞㄠㆬㄣㆭｎ</v>
      </c>
      <c r="B26" s="161">
        <f xml:space="preserve"> LEN(A26)</f>
        <v>26</v>
      </c>
      <c r="E26" s="161" cm="1">
        <f t="array" ref="E26" xml:space="preserve"> ROW() - ROW($2:$2)</f>
        <v>24</v>
      </c>
      <c r="F26" s="206" t="str">
        <f t="shared" si="2"/>
        <v>a</v>
      </c>
      <c r="G26" s="206" t="str">
        <f t="shared" si="3"/>
        <v>8</v>
      </c>
      <c r="I26" s="161">
        <v>24</v>
      </c>
      <c r="J26" s="176" t="str">
        <f t="shared" si="4"/>
        <v>8</v>
      </c>
      <c r="K26" s="176" t="str">
        <f t="shared" si="5"/>
        <v>ㄚ</v>
      </c>
      <c r="M26" s="161">
        <v>24</v>
      </c>
      <c r="N26" s="175" t="str">
        <f t="shared" si="9"/>
        <v>D</v>
      </c>
      <c r="O26" s="175" t="str">
        <f t="shared" si="1"/>
        <v>ㄣ</v>
      </c>
      <c r="Q26" s="161">
        <v>24</v>
      </c>
      <c r="R26" s="164" t="str">
        <f t="shared" si="6"/>
        <v>8</v>
      </c>
      <c r="S26" s="178" t="str">
        <f t="shared" si="7"/>
        <v>a</v>
      </c>
      <c r="T26" s="231" t="str">
        <f xml:space="preserve"> IFERROR( INDEX($K$3:$K$44, MATCH(表格1_3345[[#This Row],[鍵盤按鍵]], $J$3:$J$44,0)), "")</f>
        <v>ㄚ</v>
      </c>
      <c r="X26" s="14">
        <f t="shared" si="8"/>
        <v>24</v>
      </c>
      <c r="Y26" s="141" t="s">
        <v>50</v>
      </c>
      <c r="Z26" s="100" t="s">
        <v>139</v>
      </c>
      <c r="AA26" s="90" t="str">
        <f xml:space="preserve"> IFERROR( INDEX(表格1_3345[字典編碼], MATCH($Y26, 表格1_3345[方音符號], 0)), "")</f>
        <v>O</v>
      </c>
      <c r="AB26" s="91" t="str">
        <f xml:space="preserve"> IFERROR( INDEX(表格1_3345[鍵盤按鍵], MATCH($Y26, 表格1_3345[方音符號], 0)), "")</f>
        <v>i</v>
      </c>
      <c r="AD26" s="238" t="s">
        <v>610</v>
      </c>
      <c r="AF26" s="242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61" cm="1">
        <f t="array" ref="E27" xml:space="preserve"> ROW() - ROW($2:$2)</f>
        <v>25</v>
      </c>
      <c r="F27" s="206" t="s">
        <v>207</v>
      </c>
      <c r="G27" s="206" t="str">
        <f t="shared" si="3"/>
        <v>i</v>
      </c>
      <c r="I27" s="161">
        <v>25</v>
      </c>
      <c r="J27" s="176" t="str">
        <f t="shared" si="4"/>
        <v>i</v>
      </c>
      <c r="K27" s="176" t="str">
        <f t="shared" si="5"/>
        <v>ㆦ</v>
      </c>
      <c r="M27" s="161">
        <v>25</v>
      </c>
      <c r="N27" s="175" t="str">
        <f t="shared" si="9"/>
        <v>G</v>
      </c>
      <c r="O27" s="175" t="str">
        <f t="shared" si="1"/>
        <v>ㆭ</v>
      </c>
      <c r="Q27" s="161">
        <v>25</v>
      </c>
      <c r="R27" s="164" t="str">
        <f t="shared" si="6"/>
        <v>i</v>
      </c>
      <c r="S27" s="235" t="s">
        <v>207</v>
      </c>
      <c r="T27" s="231" t="str">
        <f xml:space="preserve"> IFERROR( INDEX($K$3:$K$44, MATCH(表格1_3345[[#This Row],[鍵盤按鍵]], $J$3:$J$44,0)), "")</f>
        <v>ㆦ</v>
      </c>
      <c r="X27" s="14">
        <f t="shared" si="8"/>
        <v>25</v>
      </c>
      <c r="Y27" s="141" t="s">
        <v>108</v>
      </c>
      <c r="Z27" s="100" t="s">
        <v>140</v>
      </c>
      <c r="AA27" s="90" t="str">
        <f xml:space="preserve"> IFERROR( INDEX(表格1_3345[字典編碼], MATCH($Y27, 表格1_3345[方音符號], 0)), "")</f>
        <v/>
      </c>
      <c r="AB27" s="91" t="str">
        <f xml:space="preserve"> IFERROR( INDEX(表格1_3345[鍵盤按鍵], MATCH($Y27, 表格1_3345[方音符號], 0)), "")</f>
        <v/>
      </c>
      <c r="AD27" s="221" t="s">
        <v>603</v>
      </c>
      <c r="AE27" s="219">
        <f xml:space="preserve"> LEN(AF27)</f>
        <v>26</v>
      </c>
      <c r="AF27" s="241" t="str">
        <f xml:space="preserve"> _xlfn.CONCAT(N$3:N$28)</f>
        <v>pPbtTdkKgcCzshiuaOoeIUBDGN</v>
      </c>
      <c r="AS27" s="249" t="s">
        <v>613</v>
      </c>
      <c r="AT27" s="250" t="str">
        <f>AT19</f>
        <v>G</v>
      </c>
      <c r="AU27" s="170">
        <f xml:space="preserve"> FIND(AT27, AF27)</f>
        <v>25</v>
      </c>
    </row>
    <row r="28" spans="1:47" ht="32.25">
      <c r="E28" s="161" cm="1">
        <f t="array" ref="E28" xml:space="preserve"> ROW() - ROW($2:$2)</f>
        <v>26</v>
      </c>
      <c r="F28" s="206" t="s">
        <v>139</v>
      </c>
      <c r="G28" s="206" t="str">
        <f t="shared" si="3"/>
        <v>k</v>
      </c>
      <c r="I28" s="161">
        <v>26</v>
      </c>
      <c r="J28" s="176" t="str">
        <f t="shared" si="4"/>
        <v>k</v>
      </c>
      <c r="K28" s="176" t="str">
        <f t="shared" si="5"/>
        <v>ㄜ</v>
      </c>
      <c r="M28" s="161">
        <v>26</v>
      </c>
      <c r="N28" s="175" t="str">
        <f t="shared" si="9"/>
        <v>N</v>
      </c>
      <c r="O28" s="175" t="str">
        <f t="shared" si="1"/>
        <v>ｎ</v>
      </c>
      <c r="Q28" s="161">
        <v>26</v>
      </c>
      <c r="R28" s="164" t="str">
        <f t="shared" si="6"/>
        <v>k</v>
      </c>
      <c r="S28" s="235" t="s">
        <v>139</v>
      </c>
      <c r="T28" s="231" t="str">
        <f xml:space="preserve"> IFERROR( INDEX($K$3:$K$44, MATCH(表格1_3345[[#This Row],[鍵盤按鍵]], $J$3:$J$44,0)), "")</f>
        <v>ㄜ</v>
      </c>
      <c r="X28" s="14">
        <f t="shared" si="8"/>
        <v>26</v>
      </c>
      <c r="Y28" s="141" t="s">
        <v>109</v>
      </c>
      <c r="Z28" s="100" t="s">
        <v>79</v>
      </c>
      <c r="AA28" s="90" t="str">
        <f xml:space="preserve"> IFERROR( INDEX(表格1_3345[字典編碼], MATCH($Y28, 表格1_3345[方音符號], 0)), "")</f>
        <v>o</v>
      </c>
      <c r="AB28" s="91" t="str">
        <f xml:space="preserve"> IFERROR( INDEX(表格1_3345[鍵盤按鍵], MATCH($Y28, 表格1_3345[方音符號], 0)), "")</f>
        <v>k</v>
      </c>
      <c r="AD28" s="222" t="s">
        <v>292</v>
      </c>
      <c r="AE28" s="219">
        <f xml:space="preserve"> LEN(AF28)</f>
        <v>26</v>
      </c>
      <c r="AF28" s="241" t="str">
        <f xml:space="preserve"> _xlfn.CONCAT(O$3:O$28)</f>
        <v>ㄅㄆㆠㄉㄊㄌㄍㄎㆣㄗㄘㆡㄙㄏㄧㄨㄚㆦㄜㆤㄞㄠㆬㄣㆭｎ</v>
      </c>
      <c r="AT28" s="239" t="str">
        <f xml:space="preserve"> MID(AF28, AU27, 1)</f>
        <v>ㆭ</v>
      </c>
      <c r="AU28" s="170"/>
    </row>
    <row r="29" spans="1:47" ht="32.25">
      <c r="E29" s="161" cm="1">
        <f t="array" ref="E29" xml:space="preserve"> ROW() - ROW($2:$2)</f>
        <v>27</v>
      </c>
      <c r="F29" s="206" t="str">
        <f t="shared" si="2"/>
        <v>M</v>
      </c>
      <c r="G29" s="206" t="str">
        <f t="shared" si="3"/>
        <v>,</v>
      </c>
      <c r="I29" s="161">
        <v>27</v>
      </c>
      <c r="J29" s="176" t="str">
        <f t="shared" si="4"/>
        <v>,</v>
      </c>
      <c r="K29" s="176" t="str">
        <f t="shared" si="5"/>
        <v>ㆰ</v>
      </c>
      <c r="M29" s="161">
        <v>27</v>
      </c>
      <c r="N29" s="175" t="str">
        <f t="shared" si="9"/>
        <v/>
      </c>
      <c r="O29" s="175" t="str">
        <f t="shared" si="1"/>
        <v/>
      </c>
      <c r="Q29" s="161">
        <v>27</v>
      </c>
      <c r="R29" s="164" t="str">
        <f t="shared" si="6"/>
        <v>,</v>
      </c>
      <c r="S29" s="178" t="str">
        <f t="shared" si="7"/>
        <v>M</v>
      </c>
      <c r="T29" s="231" t="str">
        <f xml:space="preserve"> IFERROR( INDEX($K$3:$K$44, MATCH(表格1_3345[[#This Row],[鍵盤按鍵]], $J$3:$J$44,0)), "")</f>
        <v>ㆰ</v>
      </c>
      <c r="X29" s="14">
        <f t="shared" si="8"/>
        <v>27</v>
      </c>
      <c r="Y29" s="141" t="s">
        <v>52</v>
      </c>
      <c r="Z29" s="100" t="s">
        <v>141</v>
      </c>
      <c r="AA29" s="90" t="str">
        <f xml:space="preserve"> IFERROR( INDEX(表格1_3345[字典編碼], MATCH($Y29, 表格1_3345[方音符號], 0)), "")</f>
        <v>e</v>
      </c>
      <c r="AB29" s="91" t="str">
        <f xml:space="preserve"> IFERROR( INDEX(表格1_3345[鍵盤按鍵], MATCH($Y29, 表格1_3345[方音符號], 0)), "")</f>
        <v>o</v>
      </c>
    </row>
    <row r="30" spans="1:47" ht="32.25">
      <c r="E30" s="161" cm="1">
        <f t="array" ref="E30" xml:space="preserve"> ROW() - ROW($2:$2)</f>
        <v>28</v>
      </c>
      <c r="F30" s="206" t="str">
        <f t="shared" si="2"/>
        <v>I</v>
      </c>
      <c r="G30" s="206" t="str">
        <f t="shared" si="3"/>
        <v>9</v>
      </c>
      <c r="I30" s="161">
        <v>28</v>
      </c>
      <c r="J30" s="176" t="str">
        <f t="shared" si="4"/>
        <v>9</v>
      </c>
      <c r="K30" s="176" t="str">
        <f t="shared" si="5"/>
        <v>ㄞ</v>
      </c>
      <c r="M30" s="161">
        <v>28</v>
      </c>
      <c r="N30" s="175" t="str">
        <f t="shared" si="9"/>
        <v/>
      </c>
      <c r="O30" s="175" t="str">
        <f t="shared" si="1"/>
        <v/>
      </c>
      <c r="Q30" s="161">
        <v>28</v>
      </c>
      <c r="R30" s="164" t="str">
        <f t="shared" si="6"/>
        <v>9</v>
      </c>
      <c r="S30" s="178" t="str">
        <f t="shared" si="7"/>
        <v>I</v>
      </c>
      <c r="T30" s="231" t="str">
        <f xml:space="preserve"> IFERROR( INDEX($K$3:$K$44, MATCH(表格1_3345[[#This Row],[鍵盤按鍵]], $J$3:$J$44,0)), "")</f>
        <v>ㄞ</v>
      </c>
      <c r="X30" s="21">
        <f t="shared" si="8"/>
        <v>28</v>
      </c>
      <c r="Y30" s="143" t="s">
        <v>110</v>
      </c>
      <c r="Z30" s="102" t="s">
        <v>142</v>
      </c>
      <c r="AA30" s="95" t="str">
        <f xml:space="preserve"> IFERROR( INDEX(表格1_3345[字典編碼], MATCH($Y30, 表格1_3345[方音符號], 0)), "")</f>
        <v/>
      </c>
      <c r="AB30" s="96" t="str">
        <f xml:space="preserve"> IFERROR( INDEX(表格1_3345[鍵盤按鍵], MATCH($Y30, 表格1_3345[方音符號], 0)), "")</f>
        <v/>
      </c>
    </row>
    <row r="31" spans="1:47" ht="32.25">
      <c r="E31" s="161" cm="1">
        <f t="array" ref="E31" xml:space="preserve"> ROW() - ROW($2:$2)</f>
        <v>29</v>
      </c>
      <c r="F31" s="206" t="str">
        <f t="shared" si="2"/>
        <v>e</v>
      </c>
      <c r="G31" s="206" t="str">
        <f t="shared" si="3"/>
        <v>o</v>
      </c>
      <c r="I31" s="161">
        <v>29</v>
      </c>
      <c r="J31" s="176" t="str">
        <f t="shared" si="4"/>
        <v>o</v>
      </c>
      <c r="K31" s="176" t="str">
        <f t="shared" si="5"/>
        <v>ㆤ</v>
      </c>
      <c r="M31" s="161">
        <v>29</v>
      </c>
      <c r="N31" s="175" t="str">
        <f t="shared" si="9"/>
        <v/>
      </c>
      <c r="O31" s="175" t="str">
        <f t="shared" si="1"/>
        <v/>
      </c>
      <c r="Q31" s="161">
        <v>29</v>
      </c>
      <c r="R31" s="164" t="str">
        <f t="shared" si="6"/>
        <v>o</v>
      </c>
      <c r="S31" s="178" t="str">
        <f t="shared" si="7"/>
        <v>e</v>
      </c>
      <c r="T31" s="231" t="str">
        <f xml:space="preserve"> IFERROR( INDEX($K$3:$K$44, MATCH(表格1_3345[[#This Row],[鍵盤按鍵]], $J$3:$J$44,0)), "")</f>
        <v>ㆤ</v>
      </c>
      <c r="X31" s="20">
        <f t="shared" si="8"/>
        <v>29</v>
      </c>
      <c r="Y31" s="142" t="s">
        <v>48</v>
      </c>
      <c r="Z31" s="101" t="s">
        <v>154</v>
      </c>
      <c r="AA31" s="93" t="str">
        <f xml:space="preserve"> IFERROR( INDEX(表格1_3345[字典編碼], MATCH($Y31, 表格1_3345[方音符號], 0)), "")</f>
        <v>i</v>
      </c>
      <c r="AB31" s="94" t="str">
        <f xml:space="preserve"> IFERROR( INDEX(表格1_3345[鍵盤按鍵], MATCH($Y31, 表格1_3345[方音符號], 0)), "")</f>
        <v>u</v>
      </c>
    </row>
    <row r="32" spans="1:47" ht="32.25">
      <c r="E32" s="161" cm="1">
        <f t="array" ref="E32" xml:space="preserve"> ROW() - ROW($2:$2)</f>
        <v>30</v>
      </c>
      <c r="F32" s="206" t="str">
        <f t="shared" si="2"/>
        <v>U</v>
      </c>
      <c r="G32" s="206" t="str">
        <f t="shared" si="3"/>
        <v>l</v>
      </c>
      <c r="I32" s="161">
        <v>30</v>
      </c>
      <c r="J32" s="176" t="str">
        <f t="shared" si="4"/>
        <v>l</v>
      </c>
      <c r="K32" s="176" t="str">
        <f t="shared" si="5"/>
        <v>ㄠ</v>
      </c>
      <c r="M32" s="161">
        <v>30</v>
      </c>
      <c r="N32" s="175" t="str">
        <f t="shared" si="9"/>
        <v/>
      </c>
      <c r="O32" s="175" t="str">
        <f t="shared" si="1"/>
        <v/>
      </c>
      <c r="Q32" s="161">
        <v>30</v>
      </c>
      <c r="R32" s="164" t="str">
        <f t="shared" si="6"/>
        <v>l</v>
      </c>
      <c r="S32" s="178" t="str">
        <f t="shared" si="7"/>
        <v>U</v>
      </c>
      <c r="T32" s="231" t="str">
        <f xml:space="preserve"> IFERROR( INDEX($K$3:$K$44, MATCH(表格1_3345[[#This Row],[鍵盤按鍵]], $J$3:$J$44,0)), "")</f>
        <v>ㄠ</v>
      </c>
      <c r="X32" s="14">
        <f t="shared" si="8"/>
        <v>30</v>
      </c>
      <c r="Y32" s="141" t="s">
        <v>116</v>
      </c>
      <c r="Z32" s="100" t="s">
        <v>155</v>
      </c>
      <c r="AA32" s="90" t="str">
        <f xml:space="preserve"> IFERROR( INDEX(表格1_3345[字典編碼], MATCH($Y32, 表格1_3345[方音符號], 0)), "")</f>
        <v/>
      </c>
      <c r="AB32" s="91" t="str">
        <f xml:space="preserve"> IFERROR( INDEX(表格1_3345[鍵盤按鍵], MATCH($Y32, 表格1_3345[方音符號], 0)), "")</f>
        <v/>
      </c>
    </row>
    <row r="33" spans="5:28" ht="32.25">
      <c r="E33" s="161" cm="1">
        <f t="array" ref="E33" xml:space="preserve"> ROW() - ROW($2:$2)</f>
        <v>31</v>
      </c>
      <c r="F33" s="206" t="str">
        <f t="shared" si="2"/>
        <v>Y</v>
      </c>
      <c r="G33" s="206" t="str">
        <f t="shared" si="3"/>
        <v>.</v>
      </c>
      <c r="I33" s="161">
        <v>31</v>
      </c>
      <c r="J33" s="176" t="str">
        <f t="shared" si="4"/>
        <v>.</v>
      </c>
      <c r="K33" s="176" t="str">
        <f t="shared" si="5"/>
        <v>ㆲ</v>
      </c>
      <c r="M33" s="161">
        <v>31</v>
      </c>
      <c r="N33" s="175" t="str">
        <f t="shared" si="9"/>
        <v/>
      </c>
      <c r="O33" s="175" t="str">
        <f t="shared" si="1"/>
        <v/>
      </c>
      <c r="Q33" s="161">
        <v>31</v>
      </c>
      <c r="R33" s="164" t="str">
        <f t="shared" si="6"/>
        <v>.</v>
      </c>
      <c r="S33" s="178" t="str">
        <f t="shared" si="7"/>
        <v>Y</v>
      </c>
      <c r="T33" s="231" t="str">
        <f xml:space="preserve"> IFERROR( INDEX($K$3:$K$44, MATCH(表格1_3345[[#This Row],[鍵盤按鍵]], $J$3:$J$44,0)), "")</f>
        <v>ㆲ</v>
      </c>
      <c r="X33" s="14">
        <f t="shared" si="8"/>
        <v>31</v>
      </c>
      <c r="Y33" s="141" t="s">
        <v>76</v>
      </c>
      <c r="Z33" s="100" t="s">
        <v>156</v>
      </c>
      <c r="AA33" s="90" t="str">
        <f xml:space="preserve"> IFERROR( INDEX(表格1_3345[字典編碼], MATCH($Y33, 表格1_3345[方音符號], 0)), "")</f>
        <v>u</v>
      </c>
      <c r="AB33" s="91" t="str">
        <f xml:space="preserve"> IFERROR( INDEX(表格1_3345[鍵盤按鍵], MATCH($Y33, 表格1_3345[方音符號], 0)), "")</f>
        <v>j</v>
      </c>
    </row>
    <row r="34" spans="5:28" ht="32.25">
      <c r="E34" s="161" cm="1">
        <f t="array" ref="E34" xml:space="preserve"> ROW() - ROW($2:$2)</f>
        <v>32</v>
      </c>
      <c r="F34" s="206" t="str">
        <f t="shared" si="2"/>
        <v>L</v>
      </c>
      <c r="G34" s="206" t="str">
        <f t="shared" si="3"/>
        <v>0</v>
      </c>
      <c r="I34" s="161">
        <v>32</v>
      </c>
      <c r="J34" s="176" t="str">
        <f t="shared" si="4"/>
        <v>0</v>
      </c>
      <c r="K34" s="176" t="str">
        <f t="shared" si="5"/>
        <v>ㄢ</v>
      </c>
      <c r="M34" s="161">
        <v>32</v>
      </c>
      <c r="N34" s="175" t="str">
        <f t="shared" si="9"/>
        <v/>
      </c>
      <c r="O34" s="175" t="str">
        <f t="shared" si="1"/>
        <v/>
      </c>
      <c r="Q34" s="161">
        <v>32</v>
      </c>
      <c r="R34" s="164" t="str">
        <f t="shared" si="6"/>
        <v>0</v>
      </c>
      <c r="S34" s="178" t="str">
        <f t="shared" si="7"/>
        <v>L</v>
      </c>
      <c r="T34" s="231" t="str">
        <f xml:space="preserve"> IFERROR( INDEX($K$3:$K$44, MATCH(表格1_3345[[#This Row],[鍵盤按鍵]], $J$3:$J$44,0)), "")</f>
        <v>ㄢ</v>
      </c>
      <c r="X34" s="21">
        <f t="shared" si="8"/>
        <v>32</v>
      </c>
      <c r="Y34" s="143" t="s">
        <v>117</v>
      </c>
      <c r="Z34" s="102" t="s">
        <v>157</v>
      </c>
      <c r="AA34" s="95" t="str">
        <f xml:space="preserve"> IFERROR( INDEX(表格1_3345[字典編碼], MATCH($Y34, 表格1_3345[方音符號], 0)), "")</f>
        <v/>
      </c>
      <c r="AB34" s="96" t="str">
        <f xml:space="preserve"> IFERROR( INDEX(表格1_3345[鍵盤按鍵], MATCH($Y34, 表格1_3345[方音符號], 0)), "")</f>
        <v/>
      </c>
    </row>
    <row r="35" spans="5:28" ht="32.25">
      <c r="E35" s="161" cm="1">
        <f t="array" ref="E35" xml:space="preserve"> ROW() - ROW($2:$2)</f>
        <v>33</v>
      </c>
      <c r="F35" s="206" t="str">
        <f t="shared" si="2"/>
        <v>D</v>
      </c>
      <c r="G35" s="206" t="str">
        <f t="shared" si="3"/>
        <v>p</v>
      </c>
      <c r="I35" s="161">
        <v>33</v>
      </c>
      <c r="J35" s="176" t="str">
        <f t="shared" si="4"/>
        <v>p</v>
      </c>
      <c r="K35" s="176" t="str">
        <f t="shared" si="5"/>
        <v>ㄣ</v>
      </c>
      <c r="M35" s="161">
        <v>33</v>
      </c>
      <c r="N35" s="175" t="str">
        <f t="shared" si="9"/>
        <v/>
      </c>
      <c r="O35" s="175" t="str">
        <f t="shared" si="1"/>
        <v/>
      </c>
      <c r="Q35" s="161">
        <v>33</v>
      </c>
      <c r="R35" s="164" t="str">
        <f t="shared" si="6"/>
        <v>p</v>
      </c>
      <c r="S35" s="178" t="str">
        <f t="shared" si="7"/>
        <v>D</v>
      </c>
      <c r="T35" s="231" t="str">
        <f xml:space="preserve"> IFERROR( INDEX($K$3:$K$44, MATCH(表格1_3345[[#This Row],[鍵盤按鍵]], $J$3:$J$44,0)), "")</f>
        <v>ㄣ</v>
      </c>
      <c r="X35" s="14">
        <f t="shared" si="8"/>
        <v>33</v>
      </c>
      <c r="Y35" s="141" t="s">
        <v>607</v>
      </c>
      <c r="Z35" s="100" t="s">
        <v>143</v>
      </c>
      <c r="AA35" s="90" t="str">
        <f xml:space="preserve"> IFERROR( INDEX(表格1_3345[字典編碼], MATCH($Y35, 表格1_3345[方音符號], 0)), "")</f>
        <v>I</v>
      </c>
      <c r="AB35" s="91" t="str">
        <f xml:space="preserve"> IFERROR( INDEX(表格1_3345[鍵盤按鍵], MATCH($Y35, 表格1_3345[方音符號], 0)), "")</f>
        <v>9</v>
      </c>
    </row>
    <row r="36" spans="5:28" ht="32.25">
      <c r="E36" s="161" cm="1">
        <f t="array" ref="E36" xml:space="preserve"> ROW() - ROW($2:$2)</f>
        <v>34</v>
      </c>
      <c r="F36" s="206" t="str">
        <f t="shared" si="2"/>
        <v>Q</v>
      </c>
      <c r="G36" s="206" t="str">
        <f t="shared" si="3"/>
        <v>;</v>
      </c>
      <c r="I36" s="161">
        <v>34</v>
      </c>
      <c r="J36" s="176" t="str">
        <f t="shared" si="4"/>
        <v>;</v>
      </c>
      <c r="K36" s="176" t="str">
        <f t="shared" si="5"/>
        <v>ㄤ</v>
      </c>
      <c r="M36" s="161">
        <v>34</v>
      </c>
      <c r="N36" s="175" t="str">
        <f t="shared" si="9"/>
        <v/>
      </c>
      <c r="O36" s="175" t="str">
        <f t="shared" si="1"/>
        <v/>
      </c>
      <c r="Q36" s="161">
        <v>34</v>
      </c>
      <c r="R36" s="164" t="str">
        <f t="shared" si="6"/>
        <v>;</v>
      </c>
      <c r="S36" s="178" t="str">
        <f t="shared" si="7"/>
        <v>Q</v>
      </c>
      <c r="T36" s="231" t="str">
        <f xml:space="preserve"> IFERROR( INDEX($K$3:$K$44, MATCH(表格1_3345[[#This Row],[鍵盤按鍵]], $J$3:$J$44,0)), "")</f>
        <v>ㄤ</v>
      </c>
      <c r="X36" s="14">
        <f t="shared" si="8"/>
        <v>34</v>
      </c>
      <c r="Y36" s="141" t="s">
        <v>111</v>
      </c>
      <c r="Z36" s="100" t="s">
        <v>144</v>
      </c>
      <c r="AA36" s="90" t="str">
        <f xml:space="preserve"> IFERROR( INDEX(表格1_3345[字典編碼], MATCH($Y36, 表格1_3345[方音符號], 0)), "")</f>
        <v/>
      </c>
      <c r="AB36" s="91" t="str">
        <f xml:space="preserve"> IFERROR( INDEX(表格1_3345[鍵盤按鍵], MATCH($Y36, 表格1_3345[方音符號], 0)), "")</f>
        <v/>
      </c>
    </row>
    <row r="37" spans="5:28" ht="32.25">
      <c r="E37" s="161" cm="1">
        <f t="array" ref="E37" xml:space="preserve"> ROW() - ROW($2:$2)</f>
        <v>35</v>
      </c>
      <c r="F37" s="206" t="str">
        <f t="shared" si="2"/>
        <v>G</v>
      </c>
      <c r="G37" s="206" t="str">
        <f t="shared" si="3"/>
        <v>/</v>
      </c>
      <c r="I37" s="161">
        <v>35</v>
      </c>
      <c r="J37" s="176" t="str">
        <f t="shared" si="4"/>
        <v>/</v>
      </c>
      <c r="K37" s="176" t="str">
        <f t="shared" si="5"/>
        <v>ㆭ</v>
      </c>
      <c r="M37" s="161">
        <v>35</v>
      </c>
      <c r="N37" s="175" t="str">
        <f t="shared" si="9"/>
        <v/>
      </c>
      <c r="O37" s="175" t="str">
        <f t="shared" si="1"/>
        <v/>
      </c>
      <c r="Q37" s="161">
        <v>35</v>
      </c>
      <c r="R37" s="164" t="str">
        <f t="shared" si="6"/>
        <v>/</v>
      </c>
      <c r="S37" s="178" t="str">
        <f t="shared" si="7"/>
        <v>G</v>
      </c>
      <c r="T37" s="231" t="str">
        <f xml:space="preserve"> IFERROR( INDEX($K$3:$K$44, MATCH(表格1_3345[[#This Row],[鍵盤按鍵]], $J$3:$J$44,0)), "")</f>
        <v>ㆭ</v>
      </c>
      <c r="X37" s="14">
        <f t="shared" si="8"/>
        <v>35</v>
      </c>
      <c r="Y37" s="141" t="s">
        <v>80</v>
      </c>
      <c r="Z37" s="100" t="s">
        <v>145</v>
      </c>
      <c r="AA37" s="90" t="str">
        <f xml:space="preserve"> IFERROR( INDEX(表格1_3345[字典編碼], MATCH($Y37, 表格1_3345[方音符號], 0)), "")</f>
        <v>U</v>
      </c>
      <c r="AB37" s="91" t="str">
        <f xml:space="preserve"> IFERROR( INDEX(表格1_3345[鍵盤按鍵], MATCH($Y37, 表格1_3345[方音符號], 0)), "")</f>
        <v>l</v>
      </c>
    </row>
    <row r="38" spans="5:28" ht="32.25">
      <c r="E38" s="161" cm="1">
        <f t="array" ref="E38" xml:space="preserve"> ROW() - ROW($2:$2)</f>
        <v>36</v>
      </c>
      <c r="F38" s="206" t="str">
        <f t="shared" si="2"/>
        <v>N</v>
      </c>
      <c r="G38" s="206" t="str">
        <f t="shared" si="3"/>
        <v>-</v>
      </c>
      <c r="I38" s="161">
        <v>36</v>
      </c>
      <c r="J38" s="176" t="str">
        <f t="shared" si="4"/>
        <v>-</v>
      </c>
      <c r="K38" s="176" t="str">
        <f t="shared" si="5"/>
        <v>ｎ</v>
      </c>
      <c r="M38" s="161">
        <v>36</v>
      </c>
      <c r="N38" s="175" t="str">
        <f t="shared" si="9"/>
        <v/>
      </c>
      <c r="O38" s="175" t="str">
        <f t="shared" si="1"/>
        <v/>
      </c>
      <c r="Q38" s="161">
        <v>36</v>
      </c>
      <c r="R38" s="164" t="str">
        <f t="shared" si="6"/>
        <v>-</v>
      </c>
      <c r="S38" s="178" t="str">
        <f t="shared" si="7"/>
        <v>N</v>
      </c>
      <c r="T38" s="231" t="str">
        <f xml:space="preserve"> IFERROR( INDEX($K$3:$K$44, MATCH(表格1_3345[[#This Row],[鍵盤按鍵]], $J$3:$J$44,0)), "")</f>
        <v>ｎ</v>
      </c>
      <c r="X38" s="14">
        <f t="shared" si="8"/>
        <v>36</v>
      </c>
      <c r="Y38" s="141" t="s">
        <v>112</v>
      </c>
      <c r="Z38" s="100" t="s">
        <v>146</v>
      </c>
      <c r="AA38" s="90" t="str">
        <f xml:space="preserve"> IFERROR( INDEX(表格1_3345[字典編碼], MATCH($Y38, 表格1_3345[方音符號], 0)), "")</f>
        <v/>
      </c>
      <c r="AB38" s="91" t="str">
        <f xml:space="preserve"> IFERROR( INDEX(表格1_3345[鍵盤按鍵], MATCH($Y38, 表格1_3345[方音符號], 0)), "")</f>
        <v/>
      </c>
    </row>
    <row r="39" spans="5:28" ht="32.25">
      <c r="E39" s="161" cm="1">
        <f t="array" ref="E39" xml:space="preserve"> ROW() - ROW($2:$2)</f>
        <v>37</v>
      </c>
      <c r="F39" s="206" t="str">
        <f t="shared" si="2"/>
        <v>1</v>
      </c>
      <c r="G39" s="206" t="str">
        <f t="shared" si="3"/>
        <v xml:space="preserve"> </v>
      </c>
      <c r="I39" s="161">
        <v>37</v>
      </c>
      <c r="J39" s="176" t="str">
        <f t="shared" si="4"/>
        <v>4</v>
      </c>
      <c r="K39" s="176" t="str">
        <f t="shared" si="5"/>
        <v>ˋ</v>
      </c>
      <c r="M39" s="161">
        <v>37</v>
      </c>
      <c r="N39" s="175" t="str">
        <f t="shared" si="9"/>
        <v/>
      </c>
      <c r="O39" s="175" t="str">
        <f t="shared" si="1"/>
        <v/>
      </c>
      <c r="Q39" s="161">
        <v>37</v>
      </c>
      <c r="R39" s="228" t="str">
        <f t="shared" si="6"/>
        <v xml:space="preserve"> </v>
      </c>
      <c r="S39" s="229" t="str">
        <f t="shared" si="7"/>
        <v>1</v>
      </c>
      <c r="T39" s="232" t="str">
        <f xml:space="preserve"> IFERROR( INDEX($K$3:$K$44, MATCH(表格1_3345[[#This Row],[鍵盤按鍵]], $J$3:$J$44,0)), "")</f>
        <v/>
      </c>
      <c r="X39" s="14">
        <f t="shared" si="8"/>
        <v>37</v>
      </c>
      <c r="Y39" s="141" t="s">
        <v>113</v>
      </c>
      <c r="Z39" s="100" t="s">
        <v>147</v>
      </c>
      <c r="AA39" s="90" t="str">
        <f xml:space="preserve"> IFERROR( INDEX(表格1_3345[字典編碼], MATCH($Y39, 表格1_3345[方音符號], 0)), "")</f>
        <v>M</v>
      </c>
      <c r="AB39" s="91" t="str">
        <f xml:space="preserve"> IFERROR( INDEX(表格1_3345[鍵盤按鍵], MATCH($Y39, 表格1_3345[方音符號], 0)), "")</f>
        <v>,</v>
      </c>
    </row>
    <row r="40" spans="5:28" ht="32.25">
      <c r="E40" s="161" cm="1">
        <f t="array" ref="E40" xml:space="preserve"> ROW() - ROW($2:$2)</f>
        <v>38</v>
      </c>
      <c r="F40" s="206" t="str">
        <f t="shared" si="2"/>
        <v>2</v>
      </c>
      <c r="G40" s="206" t="str">
        <f t="shared" si="3"/>
        <v>4</v>
      </c>
      <c r="I40" s="161">
        <v>38</v>
      </c>
      <c r="J40" s="176" t="str">
        <f t="shared" si="4"/>
        <v>3</v>
      </c>
      <c r="K40" s="176" t="str">
        <f t="shared" si="5"/>
        <v>˪</v>
      </c>
      <c r="M40" s="161">
        <v>38</v>
      </c>
      <c r="N40" s="175" t="str">
        <f t="shared" si="9"/>
        <v/>
      </c>
      <c r="O40" s="175" t="str">
        <f t="shared" si="1"/>
        <v/>
      </c>
      <c r="Q40" s="161">
        <v>38</v>
      </c>
      <c r="R40" s="164" t="str">
        <f t="shared" si="6"/>
        <v>4</v>
      </c>
      <c r="S40" s="178" t="str">
        <f t="shared" si="7"/>
        <v>2</v>
      </c>
      <c r="T40" s="231" t="str">
        <f xml:space="preserve"> IFERROR( INDEX($K$3:$K$44, MATCH(表格1_3345[[#This Row],[鍵盤按鍵]], $J$3:$J$44,0)), "")</f>
        <v>ˋ</v>
      </c>
      <c r="X40" s="14">
        <f t="shared" si="8"/>
        <v>38</v>
      </c>
      <c r="Y40" s="141" t="s">
        <v>114</v>
      </c>
      <c r="Z40" s="100" t="s">
        <v>148</v>
      </c>
      <c r="AA40" s="90" t="str">
        <f xml:space="preserve"> IFERROR( INDEX(表格1_3345[字典編碼], MATCH($Y40, 表格1_3345[方音符號], 0)), "")</f>
        <v/>
      </c>
      <c r="AB40" s="91" t="str">
        <f xml:space="preserve"> IFERROR( INDEX(表格1_3345[鍵盤按鍵], MATCH($Y40, 表格1_3345[方音符號], 0)), "")</f>
        <v/>
      </c>
    </row>
    <row r="41" spans="5:28" ht="32.25">
      <c r="E41" s="161" cm="1">
        <f t="array" ref="E41" xml:space="preserve"> ROW() - ROW($2:$2)</f>
        <v>39</v>
      </c>
      <c r="F41" s="206" t="str">
        <f t="shared" si="2"/>
        <v>3</v>
      </c>
      <c r="G41" s="206" t="str">
        <f t="shared" si="3"/>
        <v>3</v>
      </c>
      <c r="I41" s="161">
        <v>39</v>
      </c>
      <c r="J41" s="176" t="str">
        <f t="shared" si="4"/>
        <v>6</v>
      </c>
      <c r="K41" s="176" t="str">
        <f t="shared" si="5"/>
        <v>ˊ</v>
      </c>
      <c r="M41" s="161">
        <v>39</v>
      </c>
      <c r="N41" s="175" t="str">
        <f t="shared" si="9"/>
        <v/>
      </c>
      <c r="O41" s="175" t="str">
        <f t="shared" si="1"/>
        <v/>
      </c>
      <c r="Q41" s="161">
        <v>39</v>
      </c>
      <c r="R41" s="164" t="str">
        <f t="shared" si="6"/>
        <v>3</v>
      </c>
      <c r="S41" s="178" t="str">
        <f t="shared" si="7"/>
        <v>3</v>
      </c>
      <c r="T41" s="231" t="str">
        <f xml:space="preserve"> IFERROR( INDEX($K$3:$K$44, MATCH(表格1_3345[[#This Row],[鍵盤按鍵]], $J$3:$J$44,0)), "")</f>
        <v>˪</v>
      </c>
      <c r="X41" s="14">
        <f t="shared" si="8"/>
        <v>39</v>
      </c>
      <c r="Y41" s="141" t="s">
        <v>516</v>
      </c>
      <c r="Z41" s="100" t="s">
        <v>124</v>
      </c>
      <c r="AA41" s="90" t="str">
        <f xml:space="preserve"> IFERROR( INDEX(表格1_3345[字典編碼], MATCH($Y41, 表格1_3345[方音符號], 0)), "")</f>
        <v>B</v>
      </c>
      <c r="AB41" s="91" t="str">
        <f xml:space="preserve"> IFERROR( INDEX(表格1_3345[鍵盤按鍵], MATCH($Y41, 表格1_3345[方音符號], 0)), "")</f>
        <v>m</v>
      </c>
    </row>
    <row r="42" spans="5:28" ht="32.25">
      <c r="E42" s="161" cm="1">
        <f t="array" ref="E42" xml:space="preserve"> ROW() - ROW($2:$2)</f>
        <v>40</v>
      </c>
      <c r="F42" s="206" t="str">
        <f t="shared" si="2"/>
        <v>5</v>
      </c>
      <c r="G42" s="206" t="str">
        <f t="shared" si="3"/>
        <v>6</v>
      </c>
      <c r="I42" s="161">
        <v>40</v>
      </c>
      <c r="J42" s="176" t="str">
        <f t="shared" si="4"/>
        <v>5</v>
      </c>
      <c r="K42" s="176" t="str">
        <f t="shared" si="5"/>
        <v>˫</v>
      </c>
      <c r="M42" s="161">
        <v>40</v>
      </c>
      <c r="N42" s="175" t="str">
        <f t="shared" si="9"/>
        <v/>
      </c>
      <c r="O42" s="175" t="str">
        <f t="shared" si="1"/>
        <v/>
      </c>
      <c r="Q42" s="161">
        <v>40</v>
      </c>
      <c r="R42" s="164" t="str">
        <f t="shared" si="6"/>
        <v>6</v>
      </c>
      <c r="S42" s="178" t="str">
        <f t="shared" si="7"/>
        <v>5</v>
      </c>
      <c r="T42" s="231" t="str">
        <f xml:space="preserve"> IFERROR( INDEX($K$3:$K$44, MATCH(表格1_3345[[#This Row],[鍵盤按鍵]], $J$3:$J$44,0)), "")</f>
        <v>ˊ</v>
      </c>
      <c r="X42" s="14">
        <f t="shared" si="8"/>
        <v>40</v>
      </c>
      <c r="Y42" s="141" t="s">
        <v>23</v>
      </c>
      <c r="Z42" s="100" t="s">
        <v>149</v>
      </c>
      <c r="AA42" s="90" t="str">
        <f xml:space="preserve"> IFERROR( INDEX(表格1_3345[字典編碼], MATCH($Y42, 表格1_3345[方音符號], 0)), "")</f>
        <v>L</v>
      </c>
      <c r="AB42" s="91" t="str">
        <f xml:space="preserve"> IFERROR( INDEX(表格1_3345[鍵盤按鍵], MATCH($Y42, 表格1_3345[方音符號], 0)), "")</f>
        <v>0</v>
      </c>
    </row>
    <row r="43" spans="5:28" ht="32.25">
      <c r="E43" s="161" cm="1">
        <f t="array" ref="E43" xml:space="preserve"> ROW() - ROW($2:$2)</f>
        <v>41</v>
      </c>
      <c r="F43" s="206" t="str">
        <f t="shared" si="2"/>
        <v>7</v>
      </c>
      <c r="G43" s="206" t="str">
        <f t="shared" si="3"/>
        <v>5</v>
      </c>
      <c r="I43" s="161">
        <v>41</v>
      </c>
      <c r="J43" s="176" t="str">
        <f t="shared" si="4"/>
        <v>7</v>
      </c>
      <c r="K43" s="176" t="str">
        <f t="shared" si="5"/>
        <v>．</v>
      </c>
      <c r="M43" s="161">
        <v>41</v>
      </c>
      <c r="N43" s="175" t="str">
        <f t="shared" si="9"/>
        <v/>
      </c>
      <c r="O43" s="175" t="str">
        <f t="shared" si="1"/>
        <v/>
      </c>
      <c r="Q43" s="161">
        <v>41</v>
      </c>
      <c r="R43" s="164" t="str">
        <f t="shared" si="6"/>
        <v>5</v>
      </c>
      <c r="S43" s="178" t="str">
        <f t="shared" si="7"/>
        <v>7</v>
      </c>
      <c r="T43" s="231" t="str">
        <f xml:space="preserve"> IFERROR( INDEX($K$3:$K$44, MATCH(表格1_3345[[#This Row],[鍵盤按鍵]], $J$3:$J$44,0)), "")</f>
        <v>˫</v>
      </c>
      <c r="X43" s="14">
        <f t="shared" si="8"/>
        <v>41</v>
      </c>
      <c r="Y43" s="141" t="s">
        <v>54</v>
      </c>
      <c r="Z43" s="100" t="s">
        <v>150</v>
      </c>
      <c r="AA43" s="90" t="str">
        <f xml:space="preserve"> IFERROR( INDEX(表格1_3345[字典編碼], MATCH($Y43, 表格1_3345[方音符號], 0)), "")</f>
        <v>D</v>
      </c>
      <c r="AB43" s="91" t="str">
        <f xml:space="preserve"> IFERROR( INDEX(表格1_3345[鍵盤按鍵], MATCH($Y43, 表格1_3345[方音符號], 0)), "")</f>
        <v>p</v>
      </c>
    </row>
    <row r="44" spans="5:28" ht="32.25">
      <c r="E44" s="161" cm="1">
        <f t="array" ref="E44" xml:space="preserve"> ROW() - ROW($2:$2)</f>
        <v>42</v>
      </c>
      <c r="F44" s="206" t="str">
        <f t="shared" si="2"/>
        <v>0</v>
      </c>
      <c r="G44" s="206" t="str">
        <f t="shared" si="3"/>
        <v>7</v>
      </c>
      <c r="I44" s="161">
        <v>42</v>
      </c>
      <c r="J44" s="176" t="str">
        <f t="shared" si="4"/>
        <v/>
      </c>
      <c r="K44" s="176" t="str">
        <f t="shared" si="5"/>
        <v/>
      </c>
      <c r="M44" s="161">
        <v>42</v>
      </c>
      <c r="N44" s="175" t="str">
        <f t="shared" si="9"/>
        <v/>
      </c>
      <c r="O44" s="175" t="str">
        <f t="shared" si="1"/>
        <v/>
      </c>
      <c r="Q44" s="161">
        <v>42</v>
      </c>
      <c r="R44" s="164" t="str">
        <f t="shared" si="6"/>
        <v>7</v>
      </c>
      <c r="S44" s="178" t="str">
        <f t="shared" si="7"/>
        <v>0</v>
      </c>
      <c r="T44" s="231" t="str">
        <f xml:space="preserve"> IFERROR( INDEX($K$3:$K$44, MATCH(表格1_3345[[#This Row],[鍵盤按鍵]], $J$3:$J$44,0)), "")</f>
        <v>．</v>
      </c>
      <c r="X44" s="14">
        <f t="shared" si="8"/>
        <v>42</v>
      </c>
      <c r="Y44" s="141" t="s">
        <v>81</v>
      </c>
      <c r="Z44" s="100" t="s">
        <v>151</v>
      </c>
      <c r="AA44" s="90" t="str">
        <f xml:space="preserve"> IFERROR( INDEX(表格1_3345[字典編碼], MATCH($Y44, 表格1_3345[方音符號], 0)), "")</f>
        <v>Q</v>
      </c>
      <c r="AB44" s="91" t="str">
        <f xml:space="preserve"> IFERROR( INDEX(表格1_3345[鍵盤按鍵], MATCH($Y44, 表格1_3345[方音符號], 0)), "")</f>
        <v>;</v>
      </c>
    </row>
    <row r="45" spans="5:28" ht="32.25">
      <c r="O45" s="161"/>
      <c r="X45" s="14">
        <f t="shared" si="8"/>
        <v>43</v>
      </c>
      <c r="Y45" s="141" t="s">
        <v>101</v>
      </c>
      <c r="Z45" s="100" t="s">
        <v>152</v>
      </c>
      <c r="AA45" s="90" t="str">
        <f xml:space="preserve"> IFERROR( INDEX(表格1_3345[字典編碼], MATCH($Y45, 表格1_3345[方音符號], 0)), "")</f>
        <v>Y</v>
      </c>
      <c r="AB45" s="91" t="str">
        <f xml:space="preserve"> IFERROR( INDEX(表格1_3345[鍵盤按鍵], MATCH($Y45, 表格1_3345[方音符號], 0)), "")</f>
        <v>.</v>
      </c>
    </row>
    <row r="46" spans="5:28" ht="32.25">
      <c r="N46" s="237"/>
      <c r="X46" s="14">
        <f t="shared" si="8"/>
        <v>44</v>
      </c>
      <c r="Y46" s="141" t="s">
        <v>115</v>
      </c>
      <c r="Z46" s="104" t="s">
        <v>153</v>
      </c>
      <c r="AA46" s="90" t="str">
        <f xml:space="preserve"> IFERROR( INDEX(表格1_3345[字典編碼], MATCH($Y46, 表格1_3345[方音符號], 0)), "")</f>
        <v/>
      </c>
      <c r="AB46" s="91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41" t="s">
        <v>102</v>
      </c>
      <c r="Z47" s="100"/>
      <c r="AA47" s="90" t="str">
        <f xml:space="preserve"> IFERROR( INDEX(表格1_3345[字典編碼], MATCH($Y47, 表格1_3345[方音符號], 0)), "")</f>
        <v>G</v>
      </c>
      <c r="AB47" s="91" t="str">
        <f xml:space="preserve"> IFERROR( INDEX(表格1_3345[鍵盤按鍵], MATCH($Y47, 表格1_3345[方音符號], 0)), "")</f>
        <v>/</v>
      </c>
    </row>
    <row r="48" spans="5:28" ht="32.25">
      <c r="R48" s="227"/>
      <c r="X48" s="20">
        <f t="shared" si="8"/>
        <v>46</v>
      </c>
      <c r="Y48" s="142" t="s">
        <v>118</v>
      </c>
      <c r="Z48" s="101">
        <v>1</v>
      </c>
      <c r="AA48" s="93" t="str">
        <f xml:space="preserve"> IFERROR( INDEX(表格1_3345[字典編碼], MATCH($Y48, 表格1_3345[方音符號], 0)), "")</f>
        <v/>
      </c>
      <c r="AB48" s="94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41" t="s">
        <v>14</v>
      </c>
      <c r="Z49" s="100">
        <v>2</v>
      </c>
      <c r="AA49" s="90" t="str">
        <f xml:space="preserve"> IFERROR( INDEX(表格1_3345[字典編碼], MATCH($Y49, 表格1_3345[方音符號], 0)), "")</f>
        <v>2</v>
      </c>
      <c r="AB49" s="91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41" t="s">
        <v>12</v>
      </c>
      <c r="Z50" s="100">
        <v>3</v>
      </c>
      <c r="AA50" s="90" t="str">
        <f xml:space="preserve"> IFERROR( INDEX(表格1_3345[字典編碼], MATCH($Y50, 表格1_3345[方音符號], 0)), "")</f>
        <v>3</v>
      </c>
      <c r="AB50" s="91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41" t="s">
        <v>119</v>
      </c>
      <c r="Z51" s="100" t="s">
        <v>158</v>
      </c>
      <c r="AA51" s="90" t="str">
        <f xml:space="preserve"> IFERROR( INDEX(表格1_3345[字典編碼], MATCH($Y51, 表格1_3345[方音符號], 0)), "")</f>
        <v/>
      </c>
      <c r="AB51" s="91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41" t="s">
        <v>120</v>
      </c>
      <c r="Z52" s="100" t="s">
        <v>159</v>
      </c>
      <c r="AA52" s="90" t="str">
        <f xml:space="preserve"> IFERROR( INDEX(表格1_3345[字典編碼], MATCH($Y52, 表格1_3345[方音符號], 0)), "")</f>
        <v/>
      </c>
      <c r="AB52" s="91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41" t="s">
        <v>612</v>
      </c>
      <c r="Z53" s="100" t="s">
        <v>160</v>
      </c>
      <c r="AA53" s="90" t="str">
        <f xml:space="preserve"> IFERROR( INDEX(表格1_3345[字典編碼], MATCH($Y53, 表格1_3345[方音符號], 0)), "")</f>
        <v/>
      </c>
      <c r="AB53" s="91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41" t="s">
        <v>122</v>
      </c>
      <c r="Z54" s="100" t="s">
        <v>161</v>
      </c>
      <c r="AA54" s="90" t="str">
        <f xml:space="preserve"> IFERROR( INDEX(表格1_3345[字典編碼], MATCH($Y54, 表格1_3345[方音符號], 0)), "")</f>
        <v/>
      </c>
      <c r="AB54" s="91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41" t="s">
        <v>18</v>
      </c>
      <c r="Z55" s="100">
        <v>5</v>
      </c>
      <c r="AA55" s="90" t="str">
        <f xml:space="preserve"> IFERROR( INDEX(表格1_3345[字典編碼], MATCH($Y55, 表格1_3345[方音符號], 0)), "")</f>
        <v>5</v>
      </c>
      <c r="AB55" s="91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41" t="s">
        <v>16</v>
      </c>
      <c r="Z56" s="100">
        <v>7</v>
      </c>
      <c r="AA56" s="90" t="str">
        <f xml:space="preserve"> IFERROR( INDEX(表格1_3345[字典編碼], MATCH($Y56, 表格1_3345[方音符號], 0)), "")</f>
        <v>7</v>
      </c>
      <c r="AB56" s="91" t="str">
        <f xml:space="preserve"> IFERROR( INDEX(表格1_3345[鍵盤按鍵], MATCH($Y56, 表格1_3345[方音符號], 0)), "")</f>
        <v>5</v>
      </c>
    </row>
    <row r="57" spans="24:28" ht="32.25">
      <c r="X57" s="21">
        <f t="shared" si="8"/>
        <v>55</v>
      </c>
      <c r="Y57" s="143" t="s">
        <v>123</v>
      </c>
      <c r="Z57" s="102">
        <v>8</v>
      </c>
      <c r="AA57" s="95" t="str">
        <f xml:space="preserve"> IFERROR( INDEX(表格1_3345[字典編碼], MATCH($Y57, 表格1_3345[方音符號], 0)), "")</f>
        <v/>
      </c>
      <c r="AB57" s="96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61" customWidth="1"/>
    <col min="2" max="2" width="4.59765625" style="161" bestFit="1" customWidth="1"/>
    <col min="3" max="3" width="6.5" style="161" customWidth="1"/>
    <col min="4" max="4" width="5.09765625" style="161" customWidth="1"/>
    <col min="5" max="5" width="4.69921875" style="161" customWidth="1" outlineLevel="1"/>
    <col min="6" max="7" width="10.09765625" style="163" customWidth="1" outlineLevel="1"/>
    <col min="8" max="8" width="5.09765625" style="161" customWidth="1"/>
    <col min="9" max="9" width="4.69921875" style="161" customWidth="1"/>
    <col min="10" max="10" width="10.09765625" style="162" customWidth="1"/>
    <col min="11" max="11" width="10.09765625" style="163" customWidth="1"/>
    <col min="12" max="12" width="5.09765625" style="161" customWidth="1"/>
    <col min="13" max="13" width="4.69921875" style="161" customWidth="1"/>
    <col min="14" max="14" width="10.09765625" style="161" customWidth="1"/>
    <col min="15" max="15" width="10.09765625" style="164" customWidth="1"/>
    <col min="16" max="16" width="8.796875" style="161"/>
    <col min="17" max="17" width="4.69921875" style="161" customWidth="1"/>
    <col min="18" max="20" width="9.796875" style="161" customWidth="1"/>
    <col min="21" max="22" width="7.8984375" style="161" customWidth="1"/>
    <col min="23" max="23" width="6.19921875" style="161" customWidth="1"/>
    <col min="24" max="27" width="11.296875" style="161" customWidth="1"/>
    <col min="28" max="28" width="11.69921875" style="161" customWidth="1"/>
    <col min="29" max="29" width="3.8984375" style="161" customWidth="1"/>
    <col min="30" max="30" width="13" style="161" customWidth="1"/>
    <col min="31" max="31" width="5.5" style="161" customWidth="1"/>
    <col min="32" max="45" width="8.796875" style="161"/>
    <col min="46" max="46" width="8.796875" style="294"/>
    <col min="47" max="16384" width="8.796875" style="161"/>
  </cols>
  <sheetData>
    <row r="1" spans="1:47" ht="32.25">
      <c r="A1" s="219" t="s">
        <v>524</v>
      </c>
      <c r="E1" s="219" t="s">
        <v>521</v>
      </c>
      <c r="I1" s="219" t="s">
        <v>523</v>
      </c>
      <c r="M1" s="219" t="s">
        <v>522</v>
      </c>
      <c r="Q1" s="220" t="s">
        <v>602</v>
      </c>
      <c r="W1" s="230" t="s">
        <v>517</v>
      </c>
      <c r="X1" s="140"/>
      <c r="Y1" s="105"/>
      <c r="Z1" s="99"/>
      <c r="AA1" s="99"/>
      <c r="AB1" s="99"/>
    </row>
    <row r="2" spans="1:47" ht="25.5">
      <c r="A2" s="233" t="s">
        <v>604</v>
      </c>
      <c r="F2" s="165" t="s">
        <v>601</v>
      </c>
      <c r="G2" s="166" t="s">
        <v>527</v>
      </c>
      <c r="J2" s="165" t="s">
        <v>527</v>
      </c>
      <c r="K2" s="166" t="s">
        <v>528</v>
      </c>
      <c r="N2" s="165" t="s">
        <v>601</v>
      </c>
      <c r="O2" s="166" t="s">
        <v>529</v>
      </c>
      <c r="R2" s="169" t="s">
        <v>606</v>
      </c>
      <c r="S2" s="169" t="s">
        <v>603</v>
      </c>
      <c r="T2" s="169" t="s">
        <v>292</v>
      </c>
      <c r="W2" s="282" t="s">
        <v>103</v>
      </c>
      <c r="X2" s="283" t="s">
        <v>104</v>
      </c>
      <c r="Y2" s="284" t="s">
        <v>259</v>
      </c>
      <c r="Z2" s="285" t="s">
        <v>229</v>
      </c>
      <c r="AA2" s="285" t="s">
        <v>619</v>
      </c>
      <c r="AB2" s="286" t="s">
        <v>413</v>
      </c>
    </row>
    <row r="3" spans="1:47" ht="32.25">
      <c r="A3" s="161">
        <f xml:space="preserve"> SEARCH("|",$A$2,1)</f>
        <v>7</v>
      </c>
      <c r="E3" s="161" cm="1">
        <f t="array" ref="E3" xml:space="preserve"> ROW() - ROW($2:$2)</f>
        <v>1</v>
      </c>
      <c r="F3" s="172" t="str">
        <f xml:space="preserve"> IFERROR( MID($A$6, $E3, 1), "")</f>
        <v>p</v>
      </c>
      <c r="G3" s="173" t="str">
        <f xml:space="preserve"> IFERROR( MID($A$7, $E3, 1), "")</f>
        <v>1</v>
      </c>
      <c r="I3" s="161">
        <v>1</v>
      </c>
      <c r="J3" s="176" t="str">
        <f xml:space="preserve"> IFERROR( MID($A$15, $E3, 1), "")</f>
        <v>1</v>
      </c>
      <c r="K3" s="176" t="str">
        <f xml:space="preserve"> IFERROR( MID($A$16, $E3, 1), "")</f>
        <v>ㄅ</v>
      </c>
      <c r="M3" s="161">
        <v>1</v>
      </c>
      <c r="N3" s="175" t="str">
        <f xml:space="preserve"> IFERROR( MID($A$25, $M3, 1), "")</f>
        <v>p</v>
      </c>
      <c r="O3" s="175" t="str">
        <f xml:space="preserve"> IFERROR( MID($A$26, $M3, 1), "")</f>
        <v>ㄅ</v>
      </c>
      <c r="Q3" s="161">
        <v>1</v>
      </c>
      <c r="R3" s="164" t="str">
        <f>G3</f>
        <v>1</v>
      </c>
      <c r="S3" s="178" t="str">
        <f>F3</f>
        <v>p</v>
      </c>
      <c r="T3" s="231" t="str">
        <f xml:space="preserve"> IFERROR( INDEX($K$3:$K$44, MATCH(表格1_3346[[#This Row],[鍵盤按鍵]], $J$3:$J$44,0)), "")</f>
        <v>ㄅ</v>
      </c>
      <c r="W3" s="287" cm="1">
        <f t="array" ref="W3">ROW() - ROW($2:$2)</f>
        <v>1</v>
      </c>
      <c r="X3" s="142" t="s">
        <v>8</v>
      </c>
      <c r="Y3" s="267" t="s">
        <v>191</v>
      </c>
      <c r="Z3" s="93" t="str">
        <f xml:space="preserve"> IFERROR( INDEX(表格1_3346[字典編碼], MATCH($X3, 表格1_3346[方音符號], 0)), "")</f>
        <v>p</v>
      </c>
      <c r="AA3" s="93" t="str">
        <f t="shared" ref="AA3:AA20" si="0">Z3</f>
        <v>p</v>
      </c>
      <c r="AB3" s="255" t="str">
        <f xml:space="preserve"> IFERROR( INDEX(表格1_3346[鍵盤按鍵], MATCH($X3, 表格1_3346[方音符號], 0)), "")</f>
        <v>1</v>
      </c>
      <c r="AD3" s="238" t="s">
        <v>608</v>
      </c>
      <c r="AF3" s="242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61">
        <f xml:space="preserve"> SEARCH("|",$A$2,A3+1)</f>
        <v>50</v>
      </c>
      <c r="E4" s="161" cm="1">
        <f t="array" ref="E4" xml:space="preserve"> ROW() - ROW($2:$2)</f>
        <v>2</v>
      </c>
      <c r="F4" s="181" t="str">
        <f t="shared" ref="F4:F44" si="1" xml:space="preserve"> IFERROR( MID($A$6, $E4, 1), "")</f>
        <v>P</v>
      </c>
      <c r="G4" s="182" t="str">
        <f t="shared" ref="G4:G44" si="2" xml:space="preserve"> IFERROR( MID($A$7, $E4, 1), "")</f>
        <v>q</v>
      </c>
      <c r="I4" s="161">
        <v>2</v>
      </c>
      <c r="J4" s="176" t="str">
        <f t="shared" ref="J4:J44" si="3" xml:space="preserve"> IFERROR( MID($A$15, $E4, 1), "")</f>
        <v>q</v>
      </c>
      <c r="K4" s="176" t="str">
        <f t="shared" ref="K4:K44" si="4" xml:space="preserve"> IFERROR( MID($A$16, $E4, 1), "")</f>
        <v>ㄆ</v>
      </c>
      <c r="M4" s="161">
        <v>2</v>
      </c>
      <c r="N4" s="175" t="str">
        <f t="shared" ref="N4:N28" si="5" xml:space="preserve"> IFERROR( MID($A$25, $M4, 1), "")</f>
        <v>P</v>
      </c>
      <c r="O4" s="175" t="str">
        <f t="shared" ref="O4:O28" si="6" xml:space="preserve"> IFERROR( MID($A$26, $M4, 1), "")</f>
        <v>ㄆ</v>
      </c>
      <c r="Q4" s="161">
        <v>2</v>
      </c>
      <c r="R4" s="164" t="str">
        <f t="shared" ref="R4:R44" si="7">G4</f>
        <v>q</v>
      </c>
      <c r="S4" s="178" t="str">
        <f t="shared" ref="S4:S44" si="8">F4</f>
        <v>P</v>
      </c>
      <c r="T4" s="231" t="str">
        <f xml:space="preserve"> IFERROR( INDEX($K$3:$K$44, MATCH(表格1_3346[[#This Row],[鍵盤按鍵]], $J$3:$J$44,0)), "")</f>
        <v>ㄆ</v>
      </c>
      <c r="W4" s="288" cm="1">
        <f t="array" ref="W4">ROW() - ROW($2:$2)</f>
        <v>2</v>
      </c>
      <c r="X4" s="141" t="s">
        <v>37</v>
      </c>
      <c r="Y4" s="153" t="s">
        <v>125</v>
      </c>
      <c r="Z4" s="90" t="str">
        <f xml:space="preserve"> IFERROR( INDEX(表格1_3346[字典編碼], MATCH($X4, 表格1_3346[方音符號], 0)), "")</f>
        <v>P</v>
      </c>
      <c r="AA4" s="90" t="str">
        <f t="shared" si="0"/>
        <v>P</v>
      </c>
      <c r="AB4" s="257" t="str">
        <f xml:space="preserve"> IFERROR( INDEX(表格1_3346[鍵盤按鍵], MATCH($X4, 表格1_3346[方音符號], 0)), "")</f>
        <v>q</v>
      </c>
      <c r="AD4" s="221" t="s">
        <v>603</v>
      </c>
      <c r="AE4" s="219">
        <f xml:space="preserve"> LEN(AF4)</f>
        <v>42</v>
      </c>
      <c r="AF4" s="241" t="str">
        <f xml:space="preserve"> _xlfn.CONCAT(AA$3:AA$44)</f>
        <v>pPbtTnkKgcCzshiuaeoOIUGDBNmdqjJSQLMY123570</v>
      </c>
      <c r="AS4" s="249" t="s">
        <v>613</v>
      </c>
      <c r="AT4" s="295" t="s">
        <v>595</v>
      </c>
      <c r="AU4" s="170">
        <f xml:space="preserve"> FIND(AT4, AF4)</f>
        <v>26</v>
      </c>
    </row>
    <row r="5" spans="1:47" ht="32.25">
      <c r="A5" s="161">
        <f xml:space="preserve"> SEARCH("|",$A$2,A4+1)</f>
        <v>93</v>
      </c>
      <c r="E5" s="161" cm="1">
        <f t="array" ref="E5" xml:space="preserve"> ROW() - ROW($2:$2)</f>
        <v>3</v>
      </c>
      <c r="F5" s="181" t="str">
        <f t="shared" si="1"/>
        <v>m</v>
      </c>
      <c r="G5" s="182" t="str">
        <f t="shared" si="2"/>
        <v>a</v>
      </c>
      <c r="I5" s="161">
        <v>3</v>
      </c>
      <c r="J5" s="176" t="str">
        <f t="shared" si="3"/>
        <v>a</v>
      </c>
      <c r="K5" s="176" t="str">
        <f t="shared" si="4"/>
        <v>ㄇ</v>
      </c>
      <c r="M5" s="161">
        <v>3</v>
      </c>
      <c r="N5" s="175" t="str">
        <f t="shared" si="5"/>
        <v>b</v>
      </c>
      <c r="O5" s="175" t="str">
        <f t="shared" si="6"/>
        <v>ㆠ</v>
      </c>
      <c r="Q5" s="161">
        <v>3</v>
      </c>
      <c r="R5" s="164" t="str">
        <f t="shared" si="7"/>
        <v>a</v>
      </c>
      <c r="S5" s="178" t="str">
        <f t="shared" si="8"/>
        <v>m</v>
      </c>
      <c r="T5" s="231" t="str">
        <f xml:space="preserve"> IFERROR( INDEX($K$3:$K$44, MATCH(表格1_3346[[#This Row],[鍵盤按鍵]], $J$3:$J$44,0)), "")</f>
        <v>ㄇ</v>
      </c>
      <c r="W5" s="289" cm="1">
        <f t="array" ref="W5">ROW() - ROW($2:$2)</f>
        <v>3</v>
      </c>
      <c r="X5" s="143" t="s">
        <v>90</v>
      </c>
      <c r="Y5" s="268" t="s">
        <v>162</v>
      </c>
      <c r="Z5" s="95" t="str">
        <f xml:space="preserve"> IFERROR( INDEX(表格1_3346[字典編碼], MATCH($X5, 表格1_3346[方音符號], 0)), "")</f>
        <v>b</v>
      </c>
      <c r="AA5" s="95" t="str">
        <f t="shared" si="0"/>
        <v>b</v>
      </c>
      <c r="AB5" s="259" t="str">
        <f xml:space="preserve"> IFERROR( INDEX(表格1_3346[鍵盤按鍵], MATCH($X5, 表格1_3346[方音符號], 0)), "")</f>
        <v>z</v>
      </c>
      <c r="AD5" s="236" t="s">
        <v>606</v>
      </c>
      <c r="AE5" s="219">
        <f xml:space="preserve"> LEN(AF5)</f>
        <v>42</v>
      </c>
      <c r="AF5" s="280" t="s">
        <v>622</v>
      </c>
      <c r="AG5" s="281"/>
      <c r="AH5" s="281"/>
      <c r="AI5" s="281"/>
      <c r="AJ5" s="281"/>
      <c r="AK5" s="281"/>
      <c r="AL5" s="281"/>
      <c r="AM5" s="281"/>
      <c r="AO5" s="239" t="str">
        <f xml:space="preserve"> MID("/", AE4, 1)</f>
        <v/>
      </c>
      <c r="AT5" s="296" t="str">
        <f xml:space="preserve"> MID(AF5, AU4, 1)</f>
        <v>-</v>
      </c>
      <c r="AU5" s="170"/>
    </row>
    <row r="6" spans="1:47" ht="32.25">
      <c r="A6" s="216" t="str">
        <f xml:space="preserve"> MID($A$2,A3+1, A4-A3-1)</f>
        <v>pPmbtTndkKhjJSgqzcCsiuBaoøMIeUYLDQGN123570</v>
      </c>
      <c r="B6" s="217">
        <f xml:space="preserve"> LEN(A6)</f>
        <v>42</v>
      </c>
      <c r="E6" s="161" cm="1">
        <f t="array" ref="E6" xml:space="preserve"> ROW() - ROW($2:$2)</f>
        <v>4</v>
      </c>
      <c r="F6" s="186" t="str">
        <f t="shared" si="1"/>
        <v>b</v>
      </c>
      <c r="G6" s="187" t="str">
        <f t="shared" si="2"/>
        <v>z</v>
      </c>
      <c r="I6" s="161">
        <v>4</v>
      </c>
      <c r="J6" s="176" t="str">
        <f t="shared" si="3"/>
        <v>z</v>
      </c>
      <c r="K6" s="176" t="str">
        <f t="shared" si="4"/>
        <v>ㆠ</v>
      </c>
      <c r="M6" s="161">
        <v>4</v>
      </c>
      <c r="N6" s="175" t="str">
        <f t="shared" si="5"/>
        <v>t</v>
      </c>
      <c r="O6" s="175" t="str">
        <f t="shared" si="6"/>
        <v>ㄉ</v>
      </c>
      <c r="Q6" s="161">
        <v>4</v>
      </c>
      <c r="R6" s="164" t="str">
        <f t="shared" si="7"/>
        <v>z</v>
      </c>
      <c r="S6" s="178" t="str">
        <f t="shared" si="8"/>
        <v>b</v>
      </c>
      <c r="T6" s="231" t="str">
        <f xml:space="preserve"> IFERROR( INDEX($K$3:$K$44, MATCH(表格1_3346[[#This Row],[鍵盤按鍵]], $J$3:$J$44,0)), "")</f>
        <v>ㆠ</v>
      </c>
      <c r="W6" s="287" cm="1">
        <f t="array" ref="W6">ROW() - ROW($2:$2)</f>
        <v>4</v>
      </c>
      <c r="X6" s="142" t="s">
        <v>10</v>
      </c>
      <c r="Y6" s="267" t="s">
        <v>11</v>
      </c>
      <c r="Z6" s="93" t="str">
        <f xml:space="preserve"> IFERROR( INDEX(表格1_3346[字典編碼], MATCH($X6, 表格1_3346[方音符號], 0)), "")</f>
        <v>t</v>
      </c>
      <c r="AA6" s="93" t="str">
        <f t="shared" si="0"/>
        <v>t</v>
      </c>
      <c r="AB6" s="255" t="str">
        <f xml:space="preserve"> IFERROR( INDEX(表格1_3346[鍵盤按鍵], MATCH($X6, 表格1_3346[方音符號], 0)), "")</f>
        <v>2</v>
      </c>
      <c r="AD6" s="279"/>
      <c r="AE6" s="219"/>
      <c r="AF6" s="241" t="str">
        <f>AF5</f>
        <v>1qz2wsedtyhbncuj8oki9l/pm-axgrfv;0,. 43657</v>
      </c>
      <c r="AO6" s="239"/>
    </row>
    <row r="7" spans="1:47" ht="32.25">
      <c r="A7" s="216" t="str">
        <f xml:space="preserve"> MID($A$2,A4+1, A5-A4-1)</f>
        <v>1qaz2wsxedcrfvtgbyhnujm8ik,9ol.0p;/- 43657</v>
      </c>
      <c r="B7" s="217">
        <f xml:space="preserve"> LEN(A7)</f>
        <v>42</v>
      </c>
      <c r="E7" s="161" cm="1">
        <f t="array" ref="E7" xml:space="preserve"> ROW() - ROW($2:$2)</f>
        <v>5</v>
      </c>
      <c r="F7" s="181" t="str">
        <f t="shared" si="1"/>
        <v>t</v>
      </c>
      <c r="G7" s="182" t="str">
        <f t="shared" si="2"/>
        <v>2</v>
      </c>
      <c r="I7" s="161">
        <v>5</v>
      </c>
      <c r="J7" s="176" t="str">
        <f t="shared" si="3"/>
        <v>2</v>
      </c>
      <c r="K7" s="176" t="str">
        <f t="shared" si="4"/>
        <v>ㄉ</v>
      </c>
      <c r="M7" s="161">
        <v>5</v>
      </c>
      <c r="N7" s="175" t="str">
        <f t="shared" si="5"/>
        <v>T</v>
      </c>
      <c r="O7" s="175" t="str">
        <f t="shared" si="6"/>
        <v>ㄊ</v>
      </c>
      <c r="Q7" s="161">
        <v>5</v>
      </c>
      <c r="R7" s="164" t="str">
        <f t="shared" si="7"/>
        <v>2</v>
      </c>
      <c r="S7" s="178" t="str">
        <f t="shared" si="8"/>
        <v>t</v>
      </c>
      <c r="T7" s="231" t="str">
        <f xml:space="preserve"> IFERROR( INDEX($K$3:$K$44, MATCH(表格1_3346[[#This Row],[鍵盤按鍵]], $J$3:$J$44,0)), "")</f>
        <v>ㄉ</v>
      </c>
      <c r="W7" s="288" cm="1">
        <f t="array" ref="W7">ROW() - ROW($2:$2)</f>
        <v>5</v>
      </c>
      <c r="X7" s="141" t="s">
        <v>39</v>
      </c>
      <c r="Y7" s="153" t="s">
        <v>40</v>
      </c>
      <c r="Z7" s="90" t="str">
        <f xml:space="preserve"> IFERROR( INDEX(表格1_3346[字典編碼], MATCH($X7, 表格1_3346[方音符號], 0)), "")</f>
        <v>T</v>
      </c>
      <c r="AA7" s="90" t="str">
        <f t="shared" si="0"/>
        <v>T</v>
      </c>
      <c r="AB7" s="257" t="str">
        <f xml:space="preserve"> IFERROR( INDEX(表格1_3346[鍵盤按鍵], MATCH($X7, 表格1_3346[方音符號], 0)), "")</f>
        <v>w</v>
      </c>
      <c r="AF7" s="239"/>
    </row>
    <row r="8" spans="1:47" ht="32.25">
      <c r="E8" s="161" cm="1">
        <f t="array" ref="E8" xml:space="preserve"> ROW() - ROW($2:$2)</f>
        <v>6</v>
      </c>
      <c r="F8" s="181" t="str">
        <f t="shared" si="1"/>
        <v>T</v>
      </c>
      <c r="G8" s="182" t="str">
        <f t="shared" si="2"/>
        <v>w</v>
      </c>
      <c r="I8" s="161">
        <v>6</v>
      </c>
      <c r="J8" s="176" t="str">
        <f t="shared" si="3"/>
        <v>w</v>
      </c>
      <c r="K8" s="176" t="str">
        <f t="shared" si="4"/>
        <v>ㄊ</v>
      </c>
      <c r="M8" s="161">
        <v>6</v>
      </c>
      <c r="N8" s="175" t="str">
        <f t="shared" si="5"/>
        <v>d</v>
      </c>
      <c r="O8" s="175" t="str">
        <f t="shared" si="6"/>
        <v>ㄌ</v>
      </c>
      <c r="Q8" s="161">
        <v>6</v>
      </c>
      <c r="R8" s="164" t="str">
        <f t="shared" si="7"/>
        <v>w</v>
      </c>
      <c r="S8" s="178" t="str">
        <f t="shared" si="8"/>
        <v>T</v>
      </c>
      <c r="T8" s="231" t="str">
        <f xml:space="preserve"> IFERROR( INDEX($K$3:$K$44, MATCH(表格1_3346[[#This Row],[鍵盤按鍵]], $J$3:$J$44,0)), "")</f>
        <v>ㄊ</v>
      </c>
      <c r="W8" s="289" cm="1">
        <f t="array" ref="W8">ROW() - ROW($2:$2)</f>
        <v>6</v>
      </c>
      <c r="X8" s="143" t="s">
        <v>67</v>
      </c>
      <c r="Y8" s="268" t="s">
        <v>68</v>
      </c>
      <c r="Z8" s="95" t="str">
        <f xml:space="preserve"> IFERROR( INDEX(表格1_3346[字典編碼], MATCH($X8, 表格1_3346[方音符號], 0)), "")</f>
        <v>n</v>
      </c>
      <c r="AA8" s="95" t="str">
        <f t="shared" si="0"/>
        <v>n</v>
      </c>
      <c r="AB8" s="259" t="str">
        <f xml:space="preserve"> IFERROR( INDEX(表格1_3346[鍵盤按鍵], MATCH($X8, 表格1_3346[方音符號], 0)), "")</f>
        <v>s</v>
      </c>
      <c r="AD8" s="238" t="s">
        <v>609</v>
      </c>
      <c r="AF8" s="242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61" cm="1">
        <f t="array" ref="E9" xml:space="preserve"> ROW() - ROW($2:$2)</f>
        <v>7</v>
      </c>
      <c r="F9" s="181" t="str">
        <f t="shared" si="1"/>
        <v>n</v>
      </c>
      <c r="G9" s="182" t="str">
        <f t="shared" si="2"/>
        <v>s</v>
      </c>
      <c r="I9" s="161">
        <v>7</v>
      </c>
      <c r="J9" s="176" t="str">
        <f t="shared" si="3"/>
        <v>s</v>
      </c>
      <c r="K9" s="176" t="str">
        <f t="shared" si="4"/>
        <v>ㄋ</v>
      </c>
      <c r="M9" s="161">
        <v>7</v>
      </c>
      <c r="N9" s="175" t="str">
        <f t="shared" si="5"/>
        <v>k</v>
      </c>
      <c r="O9" s="175" t="str">
        <f t="shared" si="6"/>
        <v>ㄍ</v>
      </c>
      <c r="Q9" s="161">
        <v>7</v>
      </c>
      <c r="R9" s="164" t="str">
        <f t="shared" si="7"/>
        <v>s</v>
      </c>
      <c r="S9" s="178" t="str">
        <f t="shared" si="8"/>
        <v>n</v>
      </c>
      <c r="T9" s="231" t="str">
        <f xml:space="preserve"> IFERROR( INDEX($K$3:$K$44, MATCH(表格1_3346[[#This Row],[鍵盤按鍵]], $J$3:$J$44,0)), "")</f>
        <v>ㄋ</v>
      </c>
      <c r="W9" s="287" cm="1">
        <f t="array" ref="W9">ROW() - ROW($2:$2)</f>
        <v>7</v>
      </c>
      <c r="X9" s="142" t="s">
        <v>41</v>
      </c>
      <c r="Y9" s="267" t="s">
        <v>42</v>
      </c>
      <c r="Z9" s="93" t="str">
        <f xml:space="preserve"> IFERROR( INDEX(表格1_3346[字典編碼], MATCH($X9, 表格1_3346[方音符號], 0)), "")</f>
        <v>k</v>
      </c>
      <c r="AA9" s="93" t="str">
        <f t="shared" si="0"/>
        <v>k</v>
      </c>
      <c r="AB9" s="255" t="str">
        <f xml:space="preserve"> IFERROR( INDEX(表格1_3346[鍵盤按鍵], MATCH($X9, 表格1_3346[方音符號], 0)), "")</f>
        <v>e</v>
      </c>
      <c r="AD9" s="236" t="s">
        <v>606</v>
      </c>
      <c r="AE9" s="219">
        <f xml:space="preserve"> LEN(AF9)</f>
        <v>41</v>
      </c>
      <c r="AF9" s="241" t="str">
        <f xml:space="preserve"> _xlfn.CONCAT(AB$3:AB$38,AB$40:AB$44)</f>
        <v>1qz2wsedtyhbncuj8oki9l/pm-axgrfv;0,.43657</v>
      </c>
      <c r="AS9" s="249" t="s">
        <v>613</v>
      </c>
      <c r="AT9" s="297">
        <f ca="1">AT9</f>
        <v>0</v>
      </c>
      <c r="AU9" s="170">
        <f ca="1" xml:space="preserve"> FIND(AT9, AF9)</f>
        <v>34</v>
      </c>
    </row>
    <row r="10" spans="1:47" ht="32.25">
      <c r="A10" s="219" t="s">
        <v>523</v>
      </c>
      <c r="E10" s="161" cm="1">
        <f t="array" ref="E10" xml:space="preserve"> ROW() - ROW($2:$2)</f>
        <v>8</v>
      </c>
      <c r="F10" s="191" t="str">
        <f t="shared" si="1"/>
        <v>d</v>
      </c>
      <c r="G10" s="192" t="str">
        <f t="shared" si="2"/>
        <v>x</v>
      </c>
      <c r="I10" s="161">
        <v>8</v>
      </c>
      <c r="J10" s="176" t="str">
        <f t="shared" si="3"/>
        <v>x</v>
      </c>
      <c r="K10" s="176" t="str">
        <f t="shared" si="4"/>
        <v>ㄌ</v>
      </c>
      <c r="M10" s="161">
        <v>8</v>
      </c>
      <c r="N10" s="175" t="str">
        <f t="shared" si="5"/>
        <v>K</v>
      </c>
      <c r="O10" s="175" t="str">
        <f t="shared" si="6"/>
        <v>ㄎ</v>
      </c>
      <c r="Q10" s="161">
        <v>8</v>
      </c>
      <c r="R10" s="164" t="str">
        <f t="shared" si="7"/>
        <v>x</v>
      </c>
      <c r="S10" s="178" t="str">
        <f t="shared" si="8"/>
        <v>d</v>
      </c>
      <c r="T10" s="231" t="str">
        <f xml:space="preserve"> IFERROR( INDEX($K$3:$K$44, MATCH(表格1_3346[[#This Row],[鍵盤按鍵]], $J$3:$J$44,0)), "")</f>
        <v>ㄌ</v>
      </c>
      <c r="W10" s="288" cm="1">
        <f t="array" ref="W10">ROW() - ROW($2:$2)</f>
        <v>8</v>
      </c>
      <c r="X10" s="141" t="s">
        <v>69</v>
      </c>
      <c r="Y10" s="153" t="s">
        <v>127</v>
      </c>
      <c r="Z10" s="90" t="str">
        <f xml:space="preserve"> IFERROR( INDEX(表格1_3346[字典編碼], MATCH($X10, 表格1_3346[方音符號], 0)), "")</f>
        <v>K</v>
      </c>
      <c r="AA10" s="90" t="str">
        <f t="shared" si="0"/>
        <v>K</v>
      </c>
      <c r="AB10" s="257" t="str">
        <f xml:space="preserve"> IFERROR( INDEX(表格1_3346[鍵盤按鍵], MATCH($X10, 表格1_3346[方音符號], 0)), "")</f>
        <v>d</v>
      </c>
      <c r="AD10" s="222" t="s">
        <v>292</v>
      </c>
      <c r="AE10" s="219">
        <f xml:space="preserve"> LEN(AF10)</f>
        <v>41</v>
      </c>
      <c r="AF10" s="241" t="str">
        <f xml:space="preserve"> _xlfn.CONCAT(X$3:X$38,X$40:X$44)</f>
        <v>ㄅㄆㆠㄉㄊㄋㄍㄎㆣㄗㄘㆡㄙㄏㄧㄨㄚㆤㄜㆦㄞㄠㆭㄣㆬ鼻ㄇㄌㄫㄐㄑㄒㄤㄢㆰㆲˋ˪ˊ˫˙</v>
      </c>
      <c r="AT10" s="296" t="str">
        <f ca="1" xml:space="preserve"> MID(AF10, AU9, 1)</f>
        <v>ㄢ</v>
      </c>
      <c r="AU10" s="170"/>
    </row>
    <row r="11" spans="1:47" ht="32.25">
      <c r="A11" s="233" t="s">
        <v>605</v>
      </c>
      <c r="E11" s="161" cm="1">
        <f t="array" ref="E11" xml:space="preserve"> ROW() - ROW($2:$2)</f>
        <v>9</v>
      </c>
      <c r="F11" s="172" t="str">
        <f t="shared" si="1"/>
        <v>k</v>
      </c>
      <c r="G11" s="173" t="str">
        <f t="shared" si="2"/>
        <v>e</v>
      </c>
      <c r="I11" s="161">
        <v>9</v>
      </c>
      <c r="J11" s="176" t="str">
        <f t="shared" si="3"/>
        <v>e</v>
      </c>
      <c r="K11" s="176" t="str">
        <f t="shared" si="4"/>
        <v>ㄍ</v>
      </c>
      <c r="M11" s="161">
        <v>9</v>
      </c>
      <c r="N11" s="175" t="str">
        <f t="shared" si="5"/>
        <v>g</v>
      </c>
      <c r="O11" s="175" t="str">
        <f t="shared" si="6"/>
        <v>ㆣ</v>
      </c>
      <c r="Q11" s="161">
        <v>9</v>
      </c>
      <c r="R11" s="164" t="str">
        <f t="shared" si="7"/>
        <v>e</v>
      </c>
      <c r="S11" s="178" t="str">
        <f t="shared" si="8"/>
        <v>k</v>
      </c>
      <c r="T11" s="231" t="str">
        <f xml:space="preserve"> IFERROR( INDEX($K$3:$K$44, MATCH(表格1_3346[[#This Row],[鍵盤按鍵]], $J$3:$J$44,0)), "")</f>
        <v>ㄍ</v>
      </c>
      <c r="W11" s="289" cm="1">
        <f t="array" ref="W11">ROW() - ROW($2:$2)</f>
        <v>9</v>
      </c>
      <c r="X11" s="143" t="s">
        <v>44</v>
      </c>
      <c r="Y11" s="268" t="s">
        <v>126</v>
      </c>
      <c r="Z11" s="95" t="str">
        <f xml:space="preserve"> IFERROR( INDEX(表格1_3346[字典編碼], MATCH($X11, 表格1_3346[方音符號], 0)), "")</f>
        <v>g</v>
      </c>
      <c r="AA11" s="95" t="str">
        <f t="shared" si="0"/>
        <v>g</v>
      </c>
      <c r="AB11" s="259" t="str">
        <f xml:space="preserve"> IFERROR( INDEX(表格1_3346[鍵盤按鍵], MATCH($X11, 表格1_3346[方音符號], 0)), "")</f>
        <v>t</v>
      </c>
      <c r="AG11" s="240"/>
    </row>
    <row r="12" spans="1:47" ht="32.25">
      <c r="A12" s="161">
        <f xml:space="preserve"> SEARCH("|",$A$11,1)</f>
        <v>7</v>
      </c>
      <c r="E12" s="161" cm="1">
        <f t="array" ref="E12" xml:space="preserve"> ROW() - ROW($2:$2)</f>
        <v>10</v>
      </c>
      <c r="F12" s="181" t="str">
        <f t="shared" si="1"/>
        <v>K</v>
      </c>
      <c r="G12" s="182" t="str">
        <f t="shared" si="2"/>
        <v>d</v>
      </c>
      <c r="I12" s="161">
        <v>10</v>
      </c>
      <c r="J12" s="176" t="str">
        <f t="shared" si="3"/>
        <v>d</v>
      </c>
      <c r="K12" s="176" t="str">
        <f t="shared" si="4"/>
        <v>ㄎ</v>
      </c>
      <c r="M12" s="161">
        <v>10</v>
      </c>
      <c r="N12" s="175" t="str">
        <f t="shared" si="5"/>
        <v>c</v>
      </c>
      <c r="O12" s="175" t="str">
        <f t="shared" si="6"/>
        <v>ㄗ</v>
      </c>
      <c r="Q12" s="161">
        <v>10</v>
      </c>
      <c r="R12" s="164" t="str">
        <f t="shared" si="7"/>
        <v>d</v>
      </c>
      <c r="S12" s="178" t="str">
        <f t="shared" si="8"/>
        <v>K</v>
      </c>
      <c r="T12" s="231" t="str">
        <f xml:space="preserve"> IFERROR( INDEX($K$3:$K$44, MATCH(表格1_3346[[#This Row],[鍵盤按鍵]], $J$3:$J$44,0)), "")</f>
        <v>ㄎ</v>
      </c>
      <c r="W12" s="287" cm="1">
        <f t="array" ref="W12">ROW() - ROW($2:$2)</f>
        <v>10</v>
      </c>
      <c r="X12" s="142" t="s">
        <v>46</v>
      </c>
      <c r="Y12" s="267" t="s">
        <v>47</v>
      </c>
      <c r="Z12" s="93" t="str">
        <f xml:space="preserve"> IFERROR( INDEX(表格1_3346[字典編碼], MATCH($X12, 表格1_3346[方音符號], 0)), "")</f>
        <v>c</v>
      </c>
      <c r="AA12" s="93" t="str">
        <f t="shared" si="0"/>
        <v>c</v>
      </c>
      <c r="AB12" s="255" t="str">
        <f xml:space="preserve"> IFERROR( INDEX(表格1_3346[鍵盤按鍵], MATCH($X12, 表格1_3346[方音符號], 0)), "")</f>
        <v>y</v>
      </c>
      <c r="AD12" s="238" t="s">
        <v>610</v>
      </c>
      <c r="AF12" s="242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61">
        <f xml:space="preserve"> SEARCH("|",$A$11,A12+1)</f>
        <v>49</v>
      </c>
      <c r="E13" s="161" cm="1">
        <f t="array" ref="E13" xml:space="preserve"> ROW() - ROW($2:$2)</f>
        <v>11</v>
      </c>
      <c r="F13" s="191" t="str">
        <f t="shared" si="1"/>
        <v>h</v>
      </c>
      <c r="G13" s="192" t="str">
        <f t="shared" si="2"/>
        <v>c</v>
      </c>
      <c r="I13" s="161">
        <v>11</v>
      </c>
      <c r="J13" s="176" t="str">
        <f t="shared" si="3"/>
        <v>c</v>
      </c>
      <c r="K13" s="176" t="str">
        <f t="shared" si="4"/>
        <v>ㄏ</v>
      </c>
      <c r="M13" s="161">
        <v>11</v>
      </c>
      <c r="N13" s="175" t="str">
        <f t="shared" si="5"/>
        <v>C</v>
      </c>
      <c r="O13" s="175" t="str">
        <f t="shared" si="6"/>
        <v>ㄘ</v>
      </c>
      <c r="Q13" s="161">
        <v>11</v>
      </c>
      <c r="R13" s="164" t="str">
        <f t="shared" si="7"/>
        <v>c</v>
      </c>
      <c r="S13" s="178" t="str">
        <f t="shared" si="8"/>
        <v>h</v>
      </c>
      <c r="T13" s="231" t="str">
        <f xml:space="preserve"> IFERROR( INDEX($K$3:$K$44, MATCH(表格1_3346[[#This Row],[鍵盤按鍵]], $J$3:$J$44,0)), "")</f>
        <v>ㄏ</v>
      </c>
      <c r="W13" s="288" cm="1">
        <f t="array" ref="W13">ROW() - ROW($2:$2)</f>
        <v>11</v>
      </c>
      <c r="X13" s="141" t="s">
        <v>74</v>
      </c>
      <c r="Y13" s="153" t="s">
        <v>135</v>
      </c>
      <c r="Z13" s="90" t="str">
        <f xml:space="preserve"> IFERROR( INDEX(表格1_3346[字典編碼], MATCH($X13, 表格1_3346[方音符號], 0)), "")</f>
        <v>C</v>
      </c>
      <c r="AA13" s="90" t="str">
        <f t="shared" si="0"/>
        <v>C</v>
      </c>
      <c r="AB13" s="257" t="str">
        <f xml:space="preserve"> IFERROR( INDEX(表格1_3346[鍵盤按鍵], MATCH($X13, 表格1_3346[方音符號], 0)), "")</f>
        <v>h</v>
      </c>
      <c r="AD13" s="221" t="s">
        <v>603</v>
      </c>
      <c r="AE13" s="219">
        <f xml:space="preserve"> LEN(AF13)</f>
        <v>26</v>
      </c>
      <c r="AF13" s="241" t="str">
        <f xml:space="preserve"> _xlfn.CONCAT(AA3:AA28)</f>
        <v>pPbtTnkKgcCzshiuaeoOIUGDBN</v>
      </c>
      <c r="AS13" s="249" t="s">
        <v>613</v>
      </c>
      <c r="AT13" s="297" t="str">
        <f>AT4</f>
        <v>N</v>
      </c>
      <c r="AU13" s="170">
        <f xml:space="preserve"> FIND(AT13, AF13)</f>
        <v>26</v>
      </c>
    </row>
    <row r="14" spans="1:47" ht="32.25">
      <c r="A14" s="161">
        <f xml:space="preserve"> SEARCH("|",$A$11,A13+1)</f>
        <v>91</v>
      </c>
      <c r="E14" s="161" cm="1">
        <f t="array" ref="E14" xml:space="preserve"> ROW() - ROW($2:$2)</f>
        <v>12</v>
      </c>
      <c r="F14" s="172" t="str">
        <f t="shared" si="1"/>
        <v>j</v>
      </c>
      <c r="G14" s="173" t="str">
        <f t="shared" si="2"/>
        <v>r</v>
      </c>
      <c r="I14" s="161">
        <v>12</v>
      </c>
      <c r="J14" s="176" t="str">
        <f t="shared" si="3"/>
        <v>r</v>
      </c>
      <c r="K14" s="176" t="str">
        <f t="shared" si="4"/>
        <v>ㄐ</v>
      </c>
      <c r="M14" s="161">
        <v>12</v>
      </c>
      <c r="N14" s="175" t="str">
        <f t="shared" si="5"/>
        <v>z</v>
      </c>
      <c r="O14" s="175" t="str">
        <f t="shared" si="6"/>
        <v>ㆡ</v>
      </c>
      <c r="Q14" s="161">
        <v>12</v>
      </c>
      <c r="R14" s="164" t="str">
        <f t="shared" si="7"/>
        <v>r</v>
      </c>
      <c r="S14" s="178" t="str">
        <f t="shared" si="8"/>
        <v>j</v>
      </c>
      <c r="T14" s="231" t="str">
        <f xml:space="preserve"> IFERROR( INDEX($K$3:$K$44, MATCH(表格1_3346[[#This Row],[鍵盤按鍵]], $J$3:$J$44,0)), "")</f>
        <v>ㄐ</v>
      </c>
      <c r="W14" s="288" cm="1">
        <f t="array" ref="W14">ROW() - ROW($2:$2)</f>
        <v>12</v>
      </c>
      <c r="X14" s="141" t="s">
        <v>106</v>
      </c>
      <c r="Y14" s="153" t="s">
        <v>134</v>
      </c>
      <c r="Z14" s="90" t="str">
        <f xml:space="preserve"> IFERROR( INDEX(表格1_3346[字典編碼], MATCH($X14, 表格1_3346[方音符號], 0)), "")</f>
        <v>z</v>
      </c>
      <c r="AA14" s="90" t="str">
        <f t="shared" si="0"/>
        <v>z</v>
      </c>
      <c r="AB14" s="257" t="str">
        <f xml:space="preserve"> IFERROR( INDEX(表格1_3346[鍵盤按鍵], MATCH($X14, 表格1_3346[方音符號], 0)), "")</f>
        <v>b</v>
      </c>
      <c r="AD14" s="222" t="s">
        <v>292</v>
      </c>
      <c r="AE14" s="219">
        <f xml:space="preserve"> LEN(AF14)</f>
        <v>26</v>
      </c>
      <c r="AF14" s="241" t="str">
        <f xml:space="preserve"> _xlfn.CONCAT(X3:X28)</f>
        <v>ㄅㄆㆠㄉㄊㄋㄍㄎㆣㄗㄘㆡㄙㄏㄧㄨㄚㆤㄜㆦㄞㄠㆭㄣㆬ鼻</v>
      </c>
      <c r="AT14" s="296" t="str">
        <f xml:space="preserve"> MID(AF14, AU13, 1)</f>
        <v>鼻</v>
      </c>
      <c r="AU14" s="170"/>
    </row>
    <row r="15" spans="1:47" ht="32.25">
      <c r="A15" s="216" t="str">
        <f xml:space="preserve"> MID($A$11,A12+1, A13-A12-1)</f>
        <v>1qaz2wsxedcrfvtgbyhnujm8ik,9ol.0p;/-43657</v>
      </c>
      <c r="B15" s="217">
        <f xml:space="preserve"> LEN(A15)</f>
        <v>41</v>
      </c>
      <c r="E15" s="161" cm="1">
        <f t="array" ref="E15" xml:space="preserve"> ROW() - ROW($2:$2)</f>
        <v>13</v>
      </c>
      <c r="F15" s="181" t="str">
        <f t="shared" si="1"/>
        <v>J</v>
      </c>
      <c r="G15" s="182" t="str">
        <f t="shared" si="2"/>
        <v>f</v>
      </c>
      <c r="I15" s="161">
        <v>13</v>
      </c>
      <c r="J15" s="176" t="str">
        <f t="shared" si="3"/>
        <v>f</v>
      </c>
      <c r="K15" s="176" t="str">
        <f t="shared" si="4"/>
        <v>ㄑ</v>
      </c>
      <c r="M15" s="161">
        <v>13</v>
      </c>
      <c r="N15" s="175" t="str">
        <f t="shared" si="5"/>
        <v>s</v>
      </c>
      <c r="O15" s="175" t="str">
        <f t="shared" si="6"/>
        <v>ㄙ</v>
      </c>
      <c r="Q15" s="161">
        <v>13</v>
      </c>
      <c r="R15" s="164" t="str">
        <f t="shared" si="7"/>
        <v>f</v>
      </c>
      <c r="S15" s="178" t="str">
        <f t="shared" si="8"/>
        <v>J</v>
      </c>
      <c r="T15" s="231" t="str">
        <f xml:space="preserve"> IFERROR( INDEX($K$3:$K$44, MATCH(表格1_3346[[#This Row],[鍵盤按鍵]], $J$3:$J$44,0)), "")</f>
        <v>ㄑ</v>
      </c>
      <c r="W15" s="289" cm="1">
        <f t="array" ref="W15">ROW() - ROW($2:$2)</f>
        <v>13</v>
      </c>
      <c r="X15" s="143" t="s">
        <v>98</v>
      </c>
      <c r="Y15" s="268" t="s">
        <v>136</v>
      </c>
      <c r="Z15" s="95" t="str">
        <f xml:space="preserve"> IFERROR( INDEX(表格1_3346[字典編碼], MATCH($X15, 表格1_3346[方音符號], 0)), "")</f>
        <v>s</v>
      </c>
      <c r="AA15" s="95" t="str">
        <f t="shared" si="0"/>
        <v>s</v>
      </c>
      <c r="AB15" s="259" t="str">
        <f xml:space="preserve"> IFERROR( INDEX(表格1_3346[鍵盤按鍵], MATCH($X15, 表格1_3346[方音符號], 0)), "")</f>
        <v>n</v>
      </c>
    </row>
    <row r="16" spans="1:47" ht="32.25">
      <c r="A16" s="216" t="str">
        <f xml:space="preserve"> MID($A$11,A13+1, A14-A13-1)</f>
        <v>ㄅㄆㄇㆠㄉㄊㄋㄌㄍㄎㄏㄐㄑㄒㆣㄫㆡㄗㄘㄙㄧㄨㆬㄚㆦㄜㆰㄞㆤㄠㆲㄢㄣㄤㆭｎˋ˪ˊ˫．</v>
      </c>
      <c r="B16" s="217">
        <f xml:space="preserve"> LEN(A16)</f>
        <v>41</v>
      </c>
      <c r="E16" s="161" cm="1">
        <f t="array" ref="E16" xml:space="preserve"> ROW() - ROW($2:$2)</f>
        <v>14</v>
      </c>
      <c r="F16" s="186" t="str">
        <f t="shared" si="1"/>
        <v>S</v>
      </c>
      <c r="G16" s="187" t="str">
        <f t="shared" si="2"/>
        <v>v</v>
      </c>
      <c r="I16" s="161">
        <v>14</v>
      </c>
      <c r="J16" s="176" t="str">
        <f t="shared" si="3"/>
        <v>v</v>
      </c>
      <c r="K16" s="176" t="str">
        <f t="shared" si="4"/>
        <v>ㄒ</v>
      </c>
      <c r="M16" s="161">
        <v>14</v>
      </c>
      <c r="N16" s="175" t="str">
        <f t="shared" si="5"/>
        <v>h</v>
      </c>
      <c r="O16" s="175" t="str">
        <f t="shared" si="6"/>
        <v>ㄏ</v>
      </c>
      <c r="Q16" s="161">
        <v>14</v>
      </c>
      <c r="R16" s="164" t="str">
        <f t="shared" si="7"/>
        <v>v</v>
      </c>
      <c r="S16" s="178" t="str">
        <f t="shared" si="8"/>
        <v>S</v>
      </c>
      <c r="T16" s="231" t="str">
        <f xml:space="preserve"> IFERROR( INDEX($K$3:$K$44, MATCH(表格1_3346[[#This Row],[鍵盤按鍵]], $J$3:$J$44,0)), "")</f>
        <v>ㄒ</v>
      </c>
      <c r="W16" s="290" cm="1">
        <f t="array" ref="W16">ROW() - ROW($2:$2)</f>
        <v>14</v>
      </c>
      <c r="X16" s="144" t="s">
        <v>94</v>
      </c>
      <c r="Y16" s="269" t="s">
        <v>129</v>
      </c>
      <c r="Z16" s="97" t="str">
        <f xml:space="preserve"> IFERROR( INDEX(表格1_3346[字典編碼], MATCH($X16, 表格1_3346[方音符號], 0)), "")</f>
        <v>h</v>
      </c>
      <c r="AA16" s="97" t="str">
        <f t="shared" si="0"/>
        <v>h</v>
      </c>
      <c r="AB16" s="253" t="str">
        <f xml:space="preserve"> IFERROR( INDEX(表格1_3346[鍵盤按鍵], MATCH($X16, 表格1_3346[方音符號], 0)), "")</f>
        <v>c</v>
      </c>
    </row>
    <row r="17" spans="1:28" ht="32.25">
      <c r="E17" s="161" cm="1">
        <f t="array" ref="E17" xml:space="preserve"> ROW() - ROW($2:$2)</f>
        <v>15</v>
      </c>
      <c r="F17" s="172" t="str">
        <f t="shared" si="1"/>
        <v>g</v>
      </c>
      <c r="G17" s="173" t="str">
        <f t="shared" si="2"/>
        <v>t</v>
      </c>
      <c r="I17" s="161">
        <v>15</v>
      </c>
      <c r="J17" s="176" t="str">
        <f t="shared" si="3"/>
        <v>t</v>
      </c>
      <c r="K17" s="176" t="str">
        <f t="shared" si="4"/>
        <v>ㆣ</v>
      </c>
      <c r="M17" s="161">
        <v>15</v>
      </c>
      <c r="N17" s="175" t="str">
        <f t="shared" si="5"/>
        <v>i</v>
      </c>
      <c r="O17" s="175" t="str">
        <f t="shared" si="6"/>
        <v>ㄧ</v>
      </c>
      <c r="Q17" s="161">
        <v>15</v>
      </c>
      <c r="R17" s="164" t="str">
        <f t="shared" si="7"/>
        <v>t</v>
      </c>
      <c r="S17" s="178" t="str">
        <f t="shared" si="8"/>
        <v>g</v>
      </c>
      <c r="T17" s="231" t="str">
        <f xml:space="preserve"> IFERROR( INDEX($K$3:$K$44, MATCH(表格1_3346[[#This Row],[鍵盤按鍵]], $J$3:$J$44,0)), "")</f>
        <v>ㆣ</v>
      </c>
      <c r="W17" s="291" cm="1">
        <f t="array" ref="W17">ROW() - ROW($2:$2)</f>
        <v>15</v>
      </c>
      <c r="X17" s="142" t="s">
        <v>48</v>
      </c>
      <c r="Y17" s="267" t="s">
        <v>154</v>
      </c>
      <c r="Z17" s="93" t="str">
        <f xml:space="preserve"> IFERROR( INDEX(表格1_3346[字典編碼], MATCH($X17, 表格1_3346[方音符號], 0)), "")</f>
        <v>i</v>
      </c>
      <c r="AA17" s="93" t="str">
        <f t="shared" si="0"/>
        <v>i</v>
      </c>
      <c r="AB17" s="255" t="str">
        <f xml:space="preserve"> IFERROR( INDEX(表格1_3346[鍵盤按鍵], MATCH($X17, 表格1_3346[方音符號], 0)), "")</f>
        <v>u</v>
      </c>
    </row>
    <row r="18" spans="1:28" ht="32.25">
      <c r="E18" s="161" cm="1">
        <f t="array" ref="E18" xml:space="preserve"> ROW() - ROW($2:$2)</f>
        <v>16</v>
      </c>
      <c r="F18" s="181" t="str">
        <f t="shared" si="1"/>
        <v>q</v>
      </c>
      <c r="G18" s="182" t="str">
        <f t="shared" si="2"/>
        <v>g</v>
      </c>
      <c r="I18" s="161">
        <v>16</v>
      </c>
      <c r="J18" s="176" t="str">
        <f t="shared" si="3"/>
        <v>g</v>
      </c>
      <c r="K18" s="176" t="str">
        <f t="shared" si="4"/>
        <v>ㄫ</v>
      </c>
      <c r="M18" s="161">
        <v>16</v>
      </c>
      <c r="N18" s="175" t="str">
        <f t="shared" si="5"/>
        <v>u</v>
      </c>
      <c r="O18" s="175" t="str">
        <f t="shared" si="6"/>
        <v>ㄨ</v>
      </c>
      <c r="Q18" s="161">
        <v>16</v>
      </c>
      <c r="R18" s="164" t="str">
        <f t="shared" si="7"/>
        <v>g</v>
      </c>
      <c r="S18" s="178" t="str">
        <f t="shared" si="8"/>
        <v>q</v>
      </c>
      <c r="T18" s="231" t="str">
        <f xml:space="preserve"> IFERROR( INDEX($K$3:$K$44, MATCH(表格1_3346[[#This Row],[鍵盤按鍵]], $J$3:$J$44,0)), "")</f>
        <v>ㄫ</v>
      </c>
      <c r="W18" s="292" cm="1">
        <f t="array" ref="W18">ROW() - ROW($2:$2)</f>
        <v>16</v>
      </c>
      <c r="X18" s="143" t="s">
        <v>76</v>
      </c>
      <c r="Y18" s="268" t="s">
        <v>156</v>
      </c>
      <c r="Z18" s="95" t="str">
        <f xml:space="preserve"> IFERROR( INDEX(表格1_3346[字典編碼], MATCH($X18, 表格1_3346[方音符號], 0)), "")</f>
        <v>u</v>
      </c>
      <c r="AA18" s="95" t="str">
        <f t="shared" si="0"/>
        <v>u</v>
      </c>
      <c r="AB18" s="259" t="str">
        <f xml:space="preserve"> IFERROR( INDEX(表格1_3346[鍵盤按鍵], MATCH($X18, 表格1_3346[方音符號], 0)), "")</f>
        <v>j</v>
      </c>
    </row>
    <row r="19" spans="1:28" ht="32.25">
      <c r="E19" s="161" cm="1">
        <f t="array" ref="E19" xml:space="preserve"> ROW() - ROW($2:$2)</f>
        <v>17</v>
      </c>
      <c r="F19" s="186" t="str">
        <f t="shared" si="1"/>
        <v>z</v>
      </c>
      <c r="G19" s="187" t="str">
        <f t="shared" si="2"/>
        <v>b</v>
      </c>
      <c r="I19" s="161">
        <v>17</v>
      </c>
      <c r="J19" s="176" t="str">
        <f t="shared" si="3"/>
        <v>b</v>
      </c>
      <c r="K19" s="176" t="str">
        <f t="shared" si="4"/>
        <v>ㆡ</v>
      </c>
      <c r="M19" s="161">
        <v>17</v>
      </c>
      <c r="N19" s="175" t="str">
        <f t="shared" si="5"/>
        <v>a</v>
      </c>
      <c r="O19" s="175" t="str">
        <f t="shared" si="6"/>
        <v>ㄚ</v>
      </c>
      <c r="Q19" s="161">
        <v>17</v>
      </c>
      <c r="R19" s="164" t="str">
        <f t="shared" si="7"/>
        <v>b</v>
      </c>
      <c r="S19" s="178" t="str">
        <f t="shared" si="8"/>
        <v>z</v>
      </c>
      <c r="T19" s="231" t="str">
        <f xml:space="preserve"> IFERROR( INDEX($K$3:$K$44, MATCH(表格1_3346[[#This Row],[鍵盤按鍵]], $J$3:$J$44,0)), "")</f>
        <v>ㆡ</v>
      </c>
      <c r="W19" s="291" cm="1">
        <f t="array" ref="W19">ROW() - ROW($2:$2)</f>
        <v>17</v>
      </c>
      <c r="X19" s="142" t="s">
        <v>20</v>
      </c>
      <c r="Y19" s="267" t="s">
        <v>137</v>
      </c>
      <c r="Z19" s="93" t="str">
        <f xml:space="preserve"> IFERROR( INDEX(表格1_3346[字典編碼], MATCH($X19, 表格1_3346[方音符號], 0)), "")</f>
        <v>a</v>
      </c>
      <c r="AA19" s="93" t="str">
        <f t="shared" si="0"/>
        <v>a</v>
      </c>
      <c r="AB19" s="255" t="str">
        <f xml:space="preserve"> IFERROR( INDEX(表格1_3346[鍵盤按鍵], MATCH($X19, 表格1_3346[方音符號], 0)), "")</f>
        <v>8</v>
      </c>
    </row>
    <row r="20" spans="1:28" ht="32.25">
      <c r="A20" s="219" t="s">
        <v>535</v>
      </c>
      <c r="E20" s="161" cm="1">
        <f t="array" ref="E20" xml:space="preserve"> ROW() - ROW($2:$2)</f>
        <v>18</v>
      </c>
      <c r="F20" s="197" t="str">
        <f t="shared" si="1"/>
        <v>c</v>
      </c>
      <c r="G20" s="198" t="str">
        <f t="shared" si="2"/>
        <v>y</v>
      </c>
      <c r="I20" s="161">
        <v>18</v>
      </c>
      <c r="J20" s="176" t="str">
        <f t="shared" si="3"/>
        <v>y</v>
      </c>
      <c r="K20" s="176" t="str">
        <f t="shared" si="4"/>
        <v>ㄗ</v>
      </c>
      <c r="M20" s="161">
        <v>18</v>
      </c>
      <c r="N20" s="175" t="str">
        <f t="shared" si="5"/>
        <v>o</v>
      </c>
      <c r="O20" s="175" t="str">
        <f t="shared" si="6"/>
        <v>ㆦ</v>
      </c>
      <c r="Q20" s="161">
        <v>18</v>
      </c>
      <c r="R20" s="164" t="str">
        <f t="shared" si="7"/>
        <v>y</v>
      </c>
      <c r="S20" s="178" t="str">
        <f t="shared" si="8"/>
        <v>c</v>
      </c>
      <c r="T20" s="231" t="str">
        <f xml:space="preserve"> IFERROR( INDEX($K$3:$K$44, MATCH(表格1_3346[[#This Row],[鍵盤按鍵]], $J$3:$J$44,0)), "")</f>
        <v>ㄗ</v>
      </c>
      <c r="W20" s="293" cm="1">
        <f t="array" ref="W20">ROW() - ROW($2:$2)</f>
        <v>18</v>
      </c>
      <c r="X20" s="141" t="s">
        <v>52</v>
      </c>
      <c r="Y20" s="153" t="s">
        <v>141</v>
      </c>
      <c r="Z20" s="90" t="str">
        <f xml:space="preserve"> IFERROR( INDEX(表格1_3346[字典編碼], MATCH($X20, 表格1_3346[方音符號], 0)), "")</f>
        <v>e</v>
      </c>
      <c r="AA20" s="90" t="str">
        <f t="shared" si="0"/>
        <v>e</v>
      </c>
      <c r="AB20" s="257" t="str">
        <f xml:space="preserve"> IFERROR( INDEX(表格1_3346[鍵盤按鍵], MATCH($X20, 表格1_3346[方音符號], 0)), "")</f>
        <v>o</v>
      </c>
    </row>
    <row r="21" spans="1:28" ht="32.25">
      <c r="A21" s="233" t="s">
        <v>611</v>
      </c>
      <c r="E21" s="161" cm="1">
        <f t="array" ref="E21" xml:space="preserve"> ROW() - ROW($2:$2)</f>
        <v>19</v>
      </c>
      <c r="F21" s="202" t="str">
        <f t="shared" si="1"/>
        <v>C</v>
      </c>
      <c r="G21" s="203" t="str">
        <f t="shared" si="2"/>
        <v>h</v>
      </c>
      <c r="I21" s="161">
        <v>19</v>
      </c>
      <c r="J21" s="176" t="str">
        <f t="shared" si="3"/>
        <v>h</v>
      </c>
      <c r="K21" s="176" t="str">
        <f t="shared" si="4"/>
        <v>ㄘ</v>
      </c>
      <c r="M21" s="161">
        <v>19</v>
      </c>
      <c r="N21" s="175" t="str">
        <f t="shared" si="5"/>
        <v>ø</v>
      </c>
      <c r="O21" s="175" t="str">
        <f t="shared" si="6"/>
        <v>ㄜ</v>
      </c>
      <c r="Q21" s="161">
        <v>19</v>
      </c>
      <c r="R21" s="164" t="str">
        <f t="shared" si="7"/>
        <v>h</v>
      </c>
      <c r="S21" s="178" t="str">
        <f t="shared" si="8"/>
        <v>C</v>
      </c>
      <c r="T21" s="231" t="str">
        <f xml:space="preserve"> IFERROR( INDEX($K$3:$K$44, MATCH(表格1_3346[[#This Row],[鍵盤按鍵]], $J$3:$J$44,0)), "")</f>
        <v>ㄘ</v>
      </c>
      <c r="W21" s="293" cm="1">
        <f t="array" ref="W21">ROW() - ROW($2:$2)</f>
        <v>19</v>
      </c>
      <c r="X21" s="141" t="s">
        <v>109</v>
      </c>
      <c r="Y21" s="153" t="s">
        <v>79</v>
      </c>
      <c r="Z21" s="265" t="str">
        <f xml:space="preserve"> IFERROR( INDEX(表格1_3346[字典編碼], MATCH($X21, 表格1_3346[方音符號], 0)), "")</f>
        <v>ø</v>
      </c>
      <c r="AA21" s="265" t="s">
        <v>139</v>
      </c>
      <c r="AB21" s="257" t="str">
        <f xml:space="preserve"> IFERROR( INDEX(表格1_3346[鍵盤按鍵], MATCH($X21, 表格1_3346[方音符號], 0)), "")</f>
        <v>k</v>
      </c>
    </row>
    <row r="22" spans="1:28" ht="32.25">
      <c r="A22" s="161">
        <f xml:space="preserve"> SEARCH("|",A21,1)</f>
        <v>7</v>
      </c>
      <c r="E22" s="161" cm="1">
        <f t="array" ref="E22" xml:space="preserve"> ROW() - ROW($2:$2)</f>
        <v>20</v>
      </c>
      <c r="F22" s="186" t="str">
        <f t="shared" si="1"/>
        <v>s</v>
      </c>
      <c r="G22" s="187" t="str">
        <f t="shared" si="2"/>
        <v>n</v>
      </c>
      <c r="I22" s="161">
        <v>20</v>
      </c>
      <c r="J22" s="176" t="str">
        <f t="shared" si="3"/>
        <v>n</v>
      </c>
      <c r="K22" s="176" t="str">
        <f t="shared" si="4"/>
        <v>ㄙ</v>
      </c>
      <c r="M22" s="161">
        <v>20</v>
      </c>
      <c r="N22" s="175" t="str">
        <f t="shared" si="5"/>
        <v>e</v>
      </c>
      <c r="O22" s="175" t="str">
        <f t="shared" si="6"/>
        <v>ㆤ</v>
      </c>
      <c r="Q22" s="161">
        <v>20</v>
      </c>
      <c r="R22" s="164" t="str">
        <f t="shared" si="7"/>
        <v>n</v>
      </c>
      <c r="S22" s="178" t="str">
        <f t="shared" si="8"/>
        <v>s</v>
      </c>
      <c r="T22" s="231" t="str">
        <f xml:space="preserve"> IFERROR( INDEX($K$3:$K$44, MATCH(表格1_3346[[#This Row],[鍵盤按鍵]], $J$3:$J$44,0)), "")</f>
        <v>ㄙ</v>
      </c>
      <c r="W22" s="292" cm="1">
        <f t="array" ref="W22">ROW() - ROW($2:$2)</f>
        <v>20</v>
      </c>
      <c r="X22" s="143" t="s">
        <v>50</v>
      </c>
      <c r="Y22" s="268" t="s">
        <v>598</v>
      </c>
      <c r="Z22" s="266" t="str">
        <f xml:space="preserve"> IFERROR( INDEX(表格1_3346[字典編碼], MATCH($X22, 表格1_3346[方音符號], 0)), "")</f>
        <v>o</v>
      </c>
      <c r="AA22" s="266" t="s">
        <v>207</v>
      </c>
      <c r="AB22" s="259" t="str">
        <f xml:space="preserve"> IFERROR( INDEX(表格1_3346[鍵盤按鍵], MATCH($X22, 表格1_3346[方音符號], 0)), "")</f>
        <v>i</v>
      </c>
    </row>
    <row r="23" spans="1:28" ht="32.25">
      <c r="A23" s="161">
        <f xml:space="preserve"> SEARCH("|",A21,A22+1)</f>
        <v>34</v>
      </c>
      <c r="E23" s="161" cm="1">
        <f t="array" ref="E23" xml:space="preserve"> ROW() - ROW($2:$2)</f>
        <v>21</v>
      </c>
      <c r="F23" s="206" t="str">
        <f t="shared" si="1"/>
        <v>i</v>
      </c>
      <c r="G23" s="206" t="str">
        <f t="shared" si="2"/>
        <v>u</v>
      </c>
      <c r="I23" s="161">
        <v>21</v>
      </c>
      <c r="J23" s="176" t="str">
        <f t="shared" si="3"/>
        <v>u</v>
      </c>
      <c r="K23" s="176" t="str">
        <f t="shared" si="4"/>
        <v>ㄧ</v>
      </c>
      <c r="M23" s="161">
        <v>21</v>
      </c>
      <c r="N23" s="175" t="str">
        <f t="shared" si="5"/>
        <v>I</v>
      </c>
      <c r="O23" s="175" t="str">
        <f t="shared" si="6"/>
        <v>ㄞ</v>
      </c>
      <c r="Q23" s="161">
        <v>21</v>
      </c>
      <c r="R23" s="164" t="str">
        <f t="shared" si="7"/>
        <v>u</v>
      </c>
      <c r="S23" s="178" t="str">
        <f t="shared" si="8"/>
        <v>i</v>
      </c>
      <c r="T23" s="231" t="str">
        <f xml:space="preserve"> IFERROR( INDEX($K$3:$K$44, MATCH(表格1_3346[[#This Row],[鍵盤按鍵]], $J$3:$J$44,0)), "")</f>
        <v>ㄧ</v>
      </c>
      <c r="W23" s="291" cm="1">
        <f t="array" ref="W23">ROW() - ROW($2:$2)</f>
        <v>21</v>
      </c>
      <c r="X23" s="142" t="s">
        <v>607</v>
      </c>
      <c r="Y23" s="267" t="s">
        <v>143</v>
      </c>
      <c r="Z23" s="93" t="str">
        <f xml:space="preserve"> IFERROR( INDEX(表格1_3346[字典編碼], MATCH($X23, 表格1_3346[方音符號], 0)), "")</f>
        <v>I</v>
      </c>
      <c r="AA23" s="93" t="str">
        <f t="shared" ref="AA23:AA27" si="9">Z23</f>
        <v>I</v>
      </c>
      <c r="AB23" s="255" t="str">
        <f xml:space="preserve"> IFERROR( INDEX(表格1_3346[鍵盤按鍵], MATCH($X23, 表格1_3346[方音符號], 0)), "")</f>
        <v>9</v>
      </c>
    </row>
    <row r="24" spans="1:28" ht="32.25">
      <c r="A24" s="161">
        <f xml:space="preserve"> SEARCH("|",A21,A23+1)</f>
        <v>61</v>
      </c>
      <c r="E24" s="161" cm="1">
        <f t="array" ref="E24" xml:space="preserve"> ROW() - ROW($2:$2)</f>
        <v>22</v>
      </c>
      <c r="F24" s="206" t="str">
        <f t="shared" si="1"/>
        <v>u</v>
      </c>
      <c r="G24" s="206" t="str">
        <f t="shared" si="2"/>
        <v>j</v>
      </c>
      <c r="I24" s="161">
        <v>22</v>
      </c>
      <c r="J24" s="176" t="str">
        <f t="shared" si="3"/>
        <v>j</v>
      </c>
      <c r="K24" s="176" t="str">
        <f t="shared" si="4"/>
        <v>ㄨ</v>
      </c>
      <c r="M24" s="161">
        <v>22</v>
      </c>
      <c r="N24" s="175" t="str">
        <f t="shared" si="5"/>
        <v>U</v>
      </c>
      <c r="O24" s="175" t="str">
        <f t="shared" si="6"/>
        <v>ㄠ</v>
      </c>
      <c r="Q24" s="161">
        <v>22</v>
      </c>
      <c r="R24" s="164" t="str">
        <f t="shared" si="7"/>
        <v>j</v>
      </c>
      <c r="S24" s="178" t="str">
        <f t="shared" si="8"/>
        <v>u</v>
      </c>
      <c r="T24" s="231" t="str">
        <f xml:space="preserve"> IFERROR( INDEX($K$3:$K$44, MATCH(表格1_3346[[#This Row],[鍵盤按鍵]], $J$3:$J$44,0)), "")</f>
        <v>ㄨ</v>
      </c>
      <c r="W24" s="293" cm="1">
        <f t="array" ref="W24">ROW() - ROW($2:$2)</f>
        <v>22</v>
      </c>
      <c r="X24" s="141" t="s">
        <v>80</v>
      </c>
      <c r="Y24" s="153" t="s">
        <v>145</v>
      </c>
      <c r="Z24" s="90" t="str">
        <f xml:space="preserve"> IFERROR( INDEX(表格1_3346[字典編碼], MATCH($X24, 表格1_3346[方音符號], 0)), "")</f>
        <v>U</v>
      </c>
      <c r="AA24" s="90" t="str">
        <f t="shared" si="9"/>
        <v>U</v>
      </c>
      <c r="AB24" s="257" t="str">
        <f xml:space="preserve"> IFERROR( INDEX(表格1_3346[鍵盤按鍵], MATCH($X24, 表格1_3346[方音符號], 0)), "")</f>
        <v>l</v>
      </c>
    </row>
    <row r="25" spans="1:28" ht="32.25">
      <c r="A25" s="216" t="str">
        <f xml:space="preserve"> MID(A21,A22+1, A24-A23-1)</f>
        <v>pPbtTdkKgcCzshiuaoøeIUBDGN</v>
      </c>
      <c r="B25" s="217">
        <f xml:space="preserve"> LEN(A25)</f>
        <v>26</v>
      </c>
      <c r="E25" s="161" cm="1">
        <f t="array" ref="E25" xml:space="preserve"> ROW() - ROW($2:$2)</f>
        <v>23</v>
      </c>
      <c r="F25" s="206" t="str">
        <f t="shared" si="1"/>
        <v>B</v>
      </c>
      <c r="G25" s="206" t="str">
        <f t="shared" si="2"/>
        <v>m</v>
      </c>
      <c r="I25" s="161">
        <v>23</v>
      </c>
      <c r="J25" s="176" t="str">
        <f t="shared" si="3"/>
        <v>m</v>
      </c>
      <c r="K25" s="176" t="str">
        <f t="shared" si="4"/>
        <v>ㆬ</v>
      </c>
      <c r="M25" s="161">
        <v>23</v>
      </c>
      <c r="N25" s="175" t="str">
        <f t="shared" si="5"/>
        <v>B</v>
      </c>
      <c r="O25" s="175" t="str">
        <f t="shared" si="6"/>
        <v>ㆬ</v>
      </c>
      <c r="Q25" s="161">
        <v>23</v>
      </c>
      <c r="R25" s="164" t="str">
        <f t="shared" si="7"/>
        <v>m</v>
      </c>
      <c r="S25" s="178" t="str">
        <f t="shared" si="8"/>
        <v>B</v>
      </c>
      <c r="T25" s="231" t="str">
        <f xml:space="preserve"> IFERROR( INDEX($K$3:$K$44, MATCH(表格1_3346[[#This Row],[鍵盤按鍵]], $J$3:$J$44,0)), "")</f>
        <v>ㆬ</v>
      </c>
      <c r="W25" s="291" cm="1">
        <f t="array" ref="W25">ROW() - ROW($2:$2)</f>
        <v>23</v>
      </c>
      <c r="X25" s="142" t="s">
        <v>102</v>
      </c>
      <c r="Y25" s="270" t="s">
        <v>153</v>
      </c>
      <c r="Z25" s="93" t="str">
        <f xml:space="preserve"> IFERROR( INDEX(表格1_3346[字典編碼], MATCH($X25, 表格1_3346[方音符號], 0)), "")</f>
        <v>G</v>
      </c>
      <c r="AA25" s="93" t="str">
        <f t="shared" si="9"/>
        <v>G</v>
      </c>
      <c r="AB25" s="255" t="str">
        <f xml:space="preserve"> IFERROR( INDEX(表格1_3346[鍵盤按鍵], MATCH($X25, 表格1_3346[方音符號], 0)), "")</f>
        <v>/</v>
      </c>
    </row>
    <row r="26" spans="1:28" ht="32.25">
      <c r="A26" s="216" t="str">
        <f xml:space="preserve"> MID(A21,A23+1, A24-A23-1)</f>
        <v>ㄅㄆㆠㄉㄊㄌㄍㄎㆣㄗㄘㆡㄙㄏㄧㄨㄚㆦㄜㆤㄞㄠㆬㄣㆭｎ</v>
      </c>
      <c r="B26" s="217">
        <f xml:space="preserve"> LEN(A26)</f>
        <v>26</v>
      </c>
      <c r="E26" s="161" cm="1">
        <f t="array" ref="E26" xml:space="preserve"> ROW() - ROW($2:$2)</f>
        <v>24</v>
      </c>
      <c r="F26" s="206" t="str">
        <f t="shared" si="1"/>
        <v>a</v>
      </c>
      <c r="G26" s="206" t="str">
        <f t="shared" si="2"/>
        <v>8</v>
      </c>
      <c r="I26" s="161">
        <v>24</v>
      </c>
      <c r="J26" s="176" t="str">
        <f t="shared" si="3"/>
        <v>8</v>
      </c>
      <c r="K26" s="176" t="str">
        <f t="shared" si="4"/>
        <v>ㄚ</v>
      </c>
      <c r="M26" s="161">
        <v>24</v>
      </c>
      <c r="N26" s="175" t="str">
        <f t="shared" si="5"/>
        <v>D</v>
      </c>
      <c r="O26" s="175" t="str">
        <f t="shared" si="6"/>
        <v>ㄣ</v>
      </c>
      <c r="Q26" s="161">
        <v>24</v>
      </c>
      <c r="R26" s="164" t="str">
        <f t="shared" si="7"/>
        <v>8</v>
      </c>
      <c r="S26" s="178" t="str">
        <f t="shared" si="8"/>
        <v>a</v>
      </c>
      <c r="T26" s="231" t="str">
        <f xml:space="preserve"> IFERROR( INDEX($K$3:$K$44, MATCH(表格1_3346[[#This Row],[鍵盤按鍵]], $J$3:$J$44,0)), "")</f>
        <v>ㄚ</v>
      </c>
      <c r="W26" s="293" cm="1">
        <f t="array" ref="W26">ROW() - ROW($2:$2)</f>
        <v>24</v>
      </c>
      <c r="X26" s="141" t="s">
        <v>54</v>
      </c>
      <c r="Y26" s="271" t="s">
        <v>233</v>
      </c>
      <c r="Z26" s="90" t="str">
        <f xml:space="preserve"> IFERROR( INDEX(表格1_3346[字典編碼], MATCH($X26, 表格1_3346[方音符號], 0)), "")</f>
        <v>D</v>
      </c>
      <c r="AA26" s="90" t="str">
        <f t="shared" si="9"/>
        <v>D</v>
      </c>
      <c r="AB26" s="257" t="str">
        <f xml:space="preserve"> IFERROR( INDEX(表格1_3346[鍵盤按鍵], MATCH($X26, 表格1_3346[方音符號], 0)), "")</f>
        <v>p</v>
      </c>
    </row>
    <row r="27" spans="1:28" ht="32.25">
      <c r="E27" s="161" cm="1">
        <f t="array" ref="E27" xml:space="preserve"> ROW() - ROW($2:$2)</f>
        <v>25</v>
      </c>
      <c r="F27" s="206" t="str">
        <f t="shared" si="1"/>
        <v>o</v>
      </c>
      <c r="G27" s="206" t="str">
        <f t="shared" si="2"/>
        <v>i</v>
      </c>
      <c r="I27" s="161">
        <v>25</v>
      </c>
      <c r="J27" s="176" t="str">
        <f t="shared" si="3"/>
        <v>i</v>
      </c>
      <c r="K27" s="176" t="str">
        <f t="shared" si="4"/>
        <v>ㆦ</v>
      </c>
      <c r="M27" s="161">
        <v>25</v>
      </c>
      <c r="N27" s="175" t="str">
        <f t="shared" si="5"/>
        <v>G</v>
      </c>
      <c r="O27" s="175" t="str">
        <f t="shared" si="6"/>
        <v>ㆭ</v>
      </c>
      <c r="Q27" s="161">
        <v>25</v>
      </c>
      <c r="R27" s="164" t="str">
        <f t="shared" si="7"/>
        <v>i</v>
      </c>
      <c r="S27" s="178" t="str">
        <f t="shared" si="8"/>
        <v>o</v>
      </c>
      <c r="T27" s="231" t="str">
        <f xml:space="preserve"> IFERROR( INDEX($K$3:$K$44, MATCH(表格1_3346[[#This Row],[鍵盤按鍵]], $J$3:$J$44,0)), "")</f>
        <v>ㆦ</v>
      </c>
      <c r="W27" s="292" cm="1">
        <f t="array" ref="W27">ROW() - ROW($2:$2)</f>
        <v>25</v>
      </c>
      <c r="X27" s="143" t="s">
        <v>516</v>
      </c>
      <c r="Y27" s="272" t="s">
        <v>234</v>
      </c>
      <c r="Z27" s="95" t="str">
        <f xml:space="preserve"> IFERROR( INDEX(表格1_3346[字典編碼], MATCH($X27, 表格1_3346[方音符號], 0)), "")</f>
        <v>B</v>
      </c>
      <c r="AA27" s="95" t="str">
        <f t="shared" si="9"/>
        <v>B</v>
      </c>
      <c r="AB27" s="259" t="str">
        <f xml:space="preserve"> IFERROR( INDEX(表格1_3346[鍵盤按鍵], MATCH($X27, 表格1_3346[方音符號], 0)), "")</f>
        <v>m</v>
      </c>
    </row>
    <row r="28" spans="1:28" ht="32.25">
      <c r="E28" s="161" cm="1">
        <f t="array" ref="E28" xml:space="preserve"> ROW() - ROW($2:$2)</f>
        <v>26</v>
      </c>
      <c r="F28" s="206" t="str">
        <f t="shared" si="1"/>
        <v>ø</v>
      </c>
      <c r="G28" s="206" t="str">
        <f t="shared" si="2"/>
        <v>k</v>
      </c>
      <c r="I28" s="161">
        <v>26</v>
      </c>
      <c r="J28" s="176" t="str">
        <f t="shared" si="3"/>
        <v>k</v>
      </c>
      <c r="K28" s="176" t="str">
        <f t="shared" si="4"/>
        <v>ㄜ</v>
      </c>
      <c r="M28" s="161">
        <v>26</v>
      </c>
      <c r="N28" s="175" t="str">
        <f t="shared" si="5"/>
        <v>N</v>
      </c>
      <c r="O28" s="175" t="str">
        <f t="shared" si="6"/>
        <v>ｎ</v>
      </c>
      <c r="Q28" s="161">
        <v>26</v>
      </c>
      <c r="R28" s="164" t="str">
        <f t="shared" si="7"/>
        <v>k</v>
      </c>
      <c r="S28" s="178" t="str">
        <f t="shared" si="8"/>
        <v>ø</v>
      </c>
      <c r="T28" s="231" t="str">
        <f xml:space="preserve"> IFERROR( INDEX($K$3:$K$44, MATCH(表格1_3346[[#This Row],[鍵盤按鍵]], $J$3:$J$44,0)), "")</f>
        <v>ㄜ</v>
      </c>
      <c r="W28" s="292" cm="1">
        <f t="array" ref="W28">ROW() - ROW($2:$2)</f>
        <v>26</v>
      </c>
      <c r="X28" s="143" t="s">
        <v>235</v>
      </c>
      <c r="Y28" s="274" t="s">
        <v>197</v>
      </c>
      <c r="Z28" s="95" t="s">
        <v>595</v>
      </c>
      <c r="AA28" s="95" t="str">
        <f t="shared" ref="AA28:AA39" si="10">Z28</f>
        <v>N</v>
      </c>
      <c r="AB28" s="259" t="s">
        <v>620</v>
      </c>
    </row>
    <row r="29" spans="1:28" ht="32.25">
      <c r="E29" s="161" cm="1">
        <f t="array" ref="E29" xml:space="preserve"> ROW() - ROW($2:$2)</f>
        <v>27</v>
      </c>
      <c r="F29" s="206" t="str">
        <f t="shared" si="1"/>
        <v>M</v>
      </c>
      <c r="G29" s="206" t="str">
        <f t="shared" si="2"/>
        <v>,</v>
      </c>
      <c r="I29" s="161">
        <v>27</v>
      </c>
      <c r="J29" s="176" t="str">
        <f t="shared" si="3"/>
        <v>,</v>
      </c>
      <c r="K29" s="176" t="str">
        <f t="shared" si="4"/>
        <v>ㆰ</v>
      </c>
      <c r="M29" s="161">
        <v>27</v>
      </c>
      <c r="N29" s="175" t="str">
        <f t="shared" ref="N29:N44" si="11" xml:space="preserve"> IFERROR( MID($A$23, $E29, 1), "")</f>
        <v/>
      </c>
      <c r="O29" s="175" t="str">
        <f t="shared" ref="O29:O44" si="12" xml:space="preserve"> IFERROR( MID($A$24, $E29, 1), "")</f>
        <v/>
      </c>
      <c r="Q29" s="161">
        <v>27</v>
      </c>
      <c r="R29" s="164" t="str">
        <f t="shared" si="7"/>
        <v>,</v>
      </c>
      <c r="S29" s="178" t="str">
        <f t="shared" si="8"/>
        <v>M</v>
      </c>
      <c r="T29" s="231" t="str">
        <f xml:space="preserve"> IFERROR( INDEX($K$3:$K$44, MATCH(表格1_3346[[#This Row],[鍵盤按鍵]], $J$3:$J$44,0)), "")</f>
        <v>ㆰ</v>
      </c>
      <c r="W29" s="18" cm="1">
        <f t="array" ref="W29">ROW() - ROW($2:$2)</f>
        <v>27</v>
      </c>
      <c r="X29" s="278" t="s">
        <v>55</v>
      </c>
      <c r="Y29" s="153" t="s">
        <v>124</v>
      </c>
      <c r="Z29" s="90" t="str">
        <f xml:space="preserve"> IFERROR( INDEX(表格1_3346[字典編碼], MATCH($X29, 表格1_3346[方音符號], 0)), "")</f>
        <v>m</v>
      </c>
      <c r="AA29" s="90" t="str">
        <f t="shared" si="10"/>
        <v>m</v>
      </c>
      <c r="AB29" s="91" t="str">
        <f xml:space="preserve"> IFERROR( INDEX(表格1_3346[鍵盤按鍵], MATCH($X29, 表格1_3346[方音符號], 0)), "")</f>
        <v>a</v>
      </c>
    </row>
    <row r="30" spans="1:28" ht="32.25">
      <c r="E30" s="161" cm="1">
        <f t="array" ref="E30" xml:space="preserve"> ROW() - ROW($2:$2)</f>
        <v>28</v>
      </c>
      <c r="F30" s="206" t="str">
        <f t="shared" si="1"/>
        <v>I</v>
      </c>
      <c r="G30" s="206" t="str">
        <f t="shared" si="2"/>
        <v>9</v>
      </c>
      <c r="I30" s="161">
        <v>28</v>
      </c>
      <c r="J30" s="176" t="str">
        <f t="shared" si="3"/>
        <v>9</v>
      </c>
      <c r="K30" s="176" t="str">
        <f t="shared" si="4"/>
        <v>ㄞ</v>
      </c>
      <c r="M30" s="161">
        <v>28</v>
      </c>
      <c r="N30" s="175" t="str">
        <f t="shared" si="11"/>
        <v/>
      </c>
      <c r="O30" s="175" t="str">
        <f t="shared" si="12"/>
        <v/>
      </c>
      <c r="Q30" s="161">
        <v>28</v>
      </c>
      <c r="R30" s="164" t="str">
        <f t="shared" si="7"/>
        <v>9</v>
      </c>
      <c r="S30" s="178" t="str">
        <f t="shared" si="8"/>
        <v>I</v>
      </c>
      <c r="T30" s="231" t="str">
        <f xml:space="preserve"> IFERROR( INDEX($K$3:$K$44, MATCH(表格1_3346[[#This Row],[鍵盤按鍵]], $J$3:$J$44,0)), "")</f>
        <v>ㄞ</v>
      </c>
      <c r="W30" s="19" cm="1">
        <f t="array" ref="W30">ROW() - ROW($2:$2)</f>
        <v>28</v>
      </c>
      <c r="X30" s="278" t="s">
        <v>92</v>
      </c>
      <c r="Y30" s="268" t="s">
        <v>93</v>
      </c>
      <c r="Z30" s="95" t="str">
        <f xml:space="preserve"> IFERROR( INDEX(表格1_3346[字典編碼], MATCH($X30, 表格1_3346[方音符號], 0)), "")</f>
        <v>d</v>
      </c>
      <c r="AA30" s="95" t="str">
        <f t="shared" si="10"/>
        <v>d</v>
      </c>
      <c r="AB30" s="96" t="str">
        <f xml:space="preserve"> IFERROR( INDEX(表格1_3346[鍵盤按鍵], MATCH($X30, 表格1_3346[方音符號], 0)), "")</f>
        <v>x</v>
      </c>
    </row>
    <row r="31" spans="1:28" ht="32.25">
      <c r="E31" s="161" cm="1">
        <f t="array" ref="E31" xml:space="preserve"> ROW() - ROW($2:$2)</f>
        <v>29</v>
      </c>
      <c r="F31" s="206" t="str">
        <f t="shared" si="1"/>
        <v>e</v>
      </c>
      <c r="G31" s="206" t="str">
        <f t="shared" si="2"/>
        <v>o</v>
      </c>
      <c r="I31" s="161">
        <v>29</v>
      </c>
      <c r="J31" s="176" t="str">
        <f t="shared" si="3"/>
        <v>o</v>
      </c>
      <c r="K31" s="176" t="str">
        <f t="shared" si="4"/>
        <v>ㆤ</v>
      </c>
      <c r="M31" s="161">
        <v>29</v>
      </c>
      <c r="N31" s="175" t="str">
        <f t="shared" si="11"/>
        <v/>
      </c>
      <c r="O31" s="175" t="str">
        <f t="shared" si="12"/>
        <v/>
      </c>
      <c r="Q31" s="161">
        <v>29</v>
      </c>
      <c r="R31" s="164" t="str">
        <f t="shared" si="7"/>
        <v>o</v>
      </c>
      <c r="S31" s="178" t="str">
        <f t="shared" si="8"/>
        <v>e</v>
      </c>
      <c r="T31" s="231" t="str">
        <f xml:space="preserve"> IFERROR( INDEX($K$3:$K$44, MATCH(表格1_3346[[#This Row],[鍵盤按鍵]], $J$3:$J$44,0)), "")</f>
        <v>ㆤ</v>
      </c>
      <c r="W31" s="18" cm="1">
        <f t="array" ref="W31">ROW() - ROW($2:$2)</f>
        <v>29</v>
      </c>
      <c r="X31" s="141" t="s">
        <v>72</v>
      </c>
      <c r="Y31" s="153" t="s">
        <v>128</v>
      </c>
      <c r="Z31" s="90" t="str">
        <f xml:space="preserve"> IFERROR( INDEX(表格1_3346[字典編碼], MATCH($X31, 表格1_3346[方音符號], 0)), "")</f>
        <v>q</v>
      </c>
      <c r="AA31" s="90" t="str">
        <f t="shared" si="10"/>
        <v>q</v>
      </c>
      <c r="AB31" s="91" t="str">
        <f xml:space="preserve"> IFERROR( INDEX(表格1_3346[鍵盤按鍵], MATCH($X31, 表格1_3346[方音符號], 0)), "")</f>
        <v>g</v>
      </c>
    </row>
    <row r="32" spans="1:28" ht="32.25">
      <c r="E32" s="161" cm="1">
        <f t="array" ref="E32" xml:space="preserve"> ROW() - ROW($2:$2)</f>
        <v>30</v>
      </c>
      <c r="F32" s="206" t="str">
        <f t="shared" si="1"/>
        <v>U</v>
      </c>
      <c r="G32" s="206" t="str">
        <f t="shared" si="2"/>
        <v>l</v>
      </c>
      <c r="I32" s="161">
        <v>30</v>
      </c>
      <c r="J32" s="176" t="str">
        <f t="shared" si="3"/>
        <v>l</v>
      </c>
      <c r="K32" s="176" t="str">
        <f t="shared" si="4"/>
        <v>ㄠ</v>
      </c>
      <c r="M32" s="161">
        <v>30</v>
      </c>
      <c r="N32" s="175" t="str">
        <f t="shared" si="11"/>
        <v/>
      </c>
      <c r="O32" s="175" t="str">
        <f t="shared" si="12"/>
        <v/>
      </c>
      <c r="Q32" s="161">
        <v>30</v>
      </c>
      <c r="R32" s="164" t="str">
        <f t="shared" si="7"/>
        <v>l</v>
      </c>
      <c r="S32" s="178" t="str">
        <f t="shared" si="8"/>
        <v>U</v>
      </c>
      <c r="T32" s="231" t="str">
        <f xml:space="preserve"> IFERROR( INDEX($K$3:$K$44, MATCH(表格1_3346[[#This Row],[鍵盤按鍵]], $J$3:$J$44,0)), "")</f>
        <v>ㄠ</v>
      </c>
      <c r="W32" s="275" cm="1">
        <f t="array" ref="W32">ROW() - ROW($2:$2)</f>
        <v>30</v>
      </c>
      <c r="X32" s="142" t="s">
        <v>43</v>
      </c>
      <c r="Y32" s="267" t="s">
        <v>130</v>
      </c>
      <c r="Z32" s="93" t="str">
        <f xml:space="preserve"> IFERROR( INDEX(表格1_3346[字典編碼], MATCH($X32, 表格1_3346[方音符號], 0)), "")</f>
        <v>j</v>
      </c>
      <c r="AA32" s="93" t="str">
        <f t="shared" si="10"/>
        <v>j</v>
      </c>
      <c r="AB32" s="255" t="str">
        <f xml:space="preserve"> IFERROR( INDEX(表格1_3346[鍵盤按鍵], MATCH($X32, 表格1_3346[方音符號], 0)), "")</f>
        <v>r</v>
      </c>
    </row>
    <row r="33" spans="5:29" ht="32.25">
      <c r="E33" s="161" cm="1">
        <f t="array" ref="E33" xml:space="preserve"> ROW() - ROW($2:$2)</f>
        <v>31</v>
      </c>
      <c r="F33" s="206" t="str">
        <f t="shared" si="1"/>
        <v>Y</v>
      </c>
      <c r="G33" s="206" t="str">
        <f t="shared" si="2"/>
        <v>.</v>
      </c>
      <c r="I33" s="161">
        <v>31</v>
      </c>
      <c r="J33" s="176" t="str">
        <f t="shared" si="3"/>
        <v>.</v>
      </c>
      <c r="K33" s="176" t="str">
        <f t="shared" si="4"/>
        <v>ㆲ</v>
      </c>
      <c r="M33" s="161">
        <v>31</v>
      </c>
      <c r="N33" s="175" t="str">
        <f t="shared" si="11"/>
        <v/>
      </c>
      <c r="O33" s="175" t="str">
        <f t="shared" si="12"/>
        <v/>
      </c>
      <c r="Q33" s="161">
        <v>31</v>
      </c>
      <c r="R33" s="164" t="str">
        <f t="shared" si="7"/>
        <v>.</v>
      </c>
      <c r="S33" s="178" t="str">
        <f t="shared" si="8"/>
        <v>Y</v>
      </c>
      <c r="T33" s="231" t="str">
        <f xml:space="preserve"> IFERROR( INDEX($K$3:$K$44, MATCH(表格1_3346[[#This Row],[鍵盤按鍵]], $J$3:$J$44,0)), "")</f>
        <v>ㆲ</v>
      </c>
      <c r="W33" s="276" cm="1">
        <f t="array" ref="W33">ROW() - ROW($2:$2)</f>
        <v>31</v>
      </c>
      <c r="X33" s="141" t="s">
        <v>71</v>
      </c>
      <c r="Y33" s="153" t="s">
        <v>132</v>
      </c>
      <c r="Z33" s="90" t="str">
        <f xml:space="preserve"> IFERROR( INDEX(表格1_3346[字典編碼], MATCH($X33, 表格1_3346[方音符號], 0)), "")</f>
        <v>J</v>
      </c>
      <c r="AA33" s="90" t="str">
        <f t="shared" si="10"/>
        <v>J</v>
      </c>
      <c r="AB33" s="257" t="str">
        <f xml:space="preserve"> IFERROR( INDEX(表格1_3346[鍵盤按鍵], MATCH($X33, 表格1_3346[方音符號], 0)), "")</f>
        <v>f</v>
      </c>
    </row>
    <row r="34" spans="5:29" ht="32.25">
      <c r="E34" s="161" cm="1">
        <f t="array" ref="E34" xml:space="preserve"> ROW() - ROW($2:$2)</f>
        <v>32</v>
      </c>
      <c r="F34" s="206" t="str">
        <f t="shared" si="1"/>
        <v>L</v>
      </c>
      <c r="G34" s="206" t="str">
        <f t="shared" si="2"/>
        <v>0</v>
      </c>
      <c r="I34" s="161">
        <v>32</v>
      </c>
      <c r="J34" s="176" t="str">
        <f t="shared" si="3"/>
        <v>0</v>
      </c>
      <c r="K34" s="176" t="str">
        <f t="shared" si="4"/>
        <v>ㄢ</v>
      </c>
      <c r="M34" s="161">
        <v>32</v>
      </c>
      <c r="N34" s="175" t="str">
        <f t="shared" si="11"/>
        <v/>
      </c>
      <c r="O34" s="175" t="str">
        <f t="shared" si="12"/>
        <v/>
      </c>
      <c r="Q34" s="161">
        <v>32</v>
      </c>
      <c r="R34" s="164" t="str">
        <f t="shared" si="7"/>
        <v>0</v>
      </c>
      <c r="S34" s="178" t="str">
        <f t="shared" si="8"/>
        <v>L</v>
      </c>
      <c r="T34" s="231" t="str">
        <f xml:space="preserve"> IFERROR( INDEX($K$3:$K$44, MATCH(表格1_3346[[#This Row],[鍵盤按鍵]], $J$3:$J$44,0)), "")</f>
        <v>ㄢ</v>
      </c>
      <c r="W34" s="277" cm="1">
        <f t="array" ref="W34">ROW() - ROW($2:$2)</f>
        <v>32</v>
      </c>
      <c r="X34" s="143" t="s">
        <v>198</v>
      </c>
      <c r="Y34" s="268" t="s">
        <v>133</v>
      </c>
      <c r="Z34" s="95" t="str">
        <f xml:space="preserve"> IFERROR( INDEX(表格1_3346[字典編碼], MATCH($X34, 表格1_3346[方音符號], 0)), "")</f>
        <v>S</v>
      </c>
      <c r="AA34" s="95" t="str">
        <f t="shared" si="10"/>
        <v>S</v>
      </c>
      <c r="AB34" s="259" t="str">
        <f xml:space="preserve"> IFERROR( INDEX(表格1_3346[鍵盤按鍵], MATCH($X34, 表格1_3346[方音符號], 0)), "")</f>
        <v>v</v>
      </c>
    </row>
    <row r="35" spans="5:29" ht="32.25">
      <c r="E35" s="161" cm="1">
        <f t="array" ref="E35" xml:space="preserve"> ROW() - ROW($2:$2)</f>
        <v>33</v>
      </c>
      <c r="F35" s="206" t="str">
        <f t="shared" si="1"/>
        <v>D</v>
      </c>
      <c r="G35" s="206" t="str">
        <f t="shared" si="2"/>
        <v>p</v>
      </c>
      <c r="I35" s="161">
        <v>33</v>
      </c>
      <c r="J35" s="176" t="str">
        <f t="shared" si="3"/>
        <v>p</v>
      </c>
      <c r="K35" s="176" t="str">
        <f t="shared" si="4"/>
        <v>ㄣ</v>
      </c>
      <c r="M35" s="161">
        <v>33</v>
      </c>
      <c r="N35" s="175" t="str">
        <f t="shared" si="11"/>
        <v/>
      </c>
      <c r="O35" s="175" t="str">
        <f t="shared" si="12"/>
        <v/>
      </c>
      <c r="Q35" s="161">
        <v>33</v>
      </c>
      <c r="R35" s="164" t="str">
        <f t="shared" si="7"/>
        <v>p</v>
      </c>
      <c r="S35" s="178" t="str">
        <f t="shared" si="8"/>
        <v>D</v>
      </c>
      <c r="T35" s="231" t="str">
        <f xml:space="preserve"> IFERROR( INDEX($K$3:$K$44, MATCH(表格1_3346[[#This Row],[鍵盤按鍵]], $J$3:$J$44,0)), "")</f>
        <v>ㄣ</v>
      </c>
      <c r="W35" s="256" cm="1">
        <f t="array" ref="W35">ROW() - ROW($2:$2)</f>
        <v>33</v>
      </c>
      <c r="X35" s="141" t="s">
        <v>81</v>
      </c>
      <c r="Y35" s="153" t="s">
        <v>151</v>
      </c>
      <c r="Z35" s="90" t="str">
        <f xml:space="preserve"> IFERROR( INDEX(表格1_3346[字典編碼], MATCH($X35, 表格1_3346[方音符號], 0)), "")</f>
        <v>Q</v>
      </c>
      <c r="AA35" s="90" t="str">
        <f t="shared" si="10"/>
        <v>Q</v>
      </c>
      <c r="AB35" s="257" t="str">
        <f xml:space="preserve"> IFERROR( INDEX(表格1_3346[鍵盤按鍵], MATCH($X35, 表格1_3346[方音符號], 0)), "")</f>
        <v>;</v>
      </c>
    </row>
    <row r="36" spans="5:29" ht="32.25">
      <c r="E36" s="161" cm="1">
        <f t="array" ref="E36" xml:space="preserve"> ROW() - ROW($2:$2)</f>
        <v>34</v>
      </c>
      <c r="F36" s="206" t="str">
        <f t="shared" si="1"/>
        <v>Q</v>
      </c>
      <c r="G36" s="206" t="str">
        <f t="shared" si="2"/>
        <v>;</v>
      </c>
      <c r="I36" s="161">
        <v>34</v>
      </c>
      <c r="J36" s="176" t="str">
        <f t="shared" si="3"/>
        <v>;</v>
      </c>
      <c r="K36" s="176" t="str">
        <f t="shared" si="4"/>
        <v>ㄤ</v>
      </c>
      <c r="M36" s="161">
        <v>34</v>
      </c>
      <c r="N36" s="175" t="str">
        <f t="shared" si="11"/>
        <v/>
      </c>
      <c r="O36" s="175" t="str">
        <f t="shared" si="12"/>
        <v/>
      </c>
      <c r="Q36" s="161">
        <v>34</v>
      </c>
      <c r="R36" s="164" t="str">
        <f t="shared" si="7"/>
        <v>;</v>
      </c>
      <c r="S36" s="178" t="str">
        <f t="shared" si="8"/>
        <v>Q</v>
      </c>
      <c r="T36" s="231" t="str">
        <f xml:space="preserve"> IFERROR( INDEX($K$3:$K$44, MATCH(表格1_3346[[#This Row],[鍵盤按鍵]], $J$3:$J$44,0)), "")</f>
        <v>ㄤ</v>
      </c>
      <c r="W36" s="256" cm="1">
        <f t="array" ref="W36">ROW() - ROW($2:$2)</f>
        <v>34</v>
      </c>
      <c r="X36" s="141" t="s">
        <v>23</v>
      </c>
      <c r="Y36" s="153" t="s">
        <v>149</v>
      </c>
      <c r="Z36" s="90" t="str">
        <f xml:space="preserve"> IFERROR( INDEX(表格1_3346[字典編碼], MATCH($X36, 表格1_3346[方音符號], 0)), "")</f>
        <v>L</v>
      </c>
      <c r="AA36" s="90" t="str">
        <f t="shared" si="10"/>
        <v>L</v>
      </c>
      <c r="AB36" s="257" t="str">
        <f xml:space="preserve"> IFERROR( INDEX(表格1_3346[鍵盤按鍵], MATCH($X36, 表格1_3346[方音符號], 0)), "")</f>
        <v>0</v>
      </c>
    </row>
    <row r="37" spans="5:29" ht="32.25">
      <c r="E37" s="161" cm="1">
        <f t="array" ref="E37" xml:space="preserve"> ROW() - ROW($2:$2)</f>
        <v>35</v>
      </c>
      <c r="F37" s="206" t="str">
        <f t="shared" si="1"/>
        <v>G</v>
      </c>
      <c r="G37" s="206" t="str">
        <f t="shared" si="2"/>
        <v>/</v>
      </c>
      <c r="I37" s="161">
        <v>35</v>
      </c>
      <c r="J37" s="176" t="str">
        <f t="shared" si="3"/>
        <v>/</v>
      </c>
      <c r="K37" s="176" t="str">
        <f t="shared" si="4"/>
        <v>ㆭ</v>
      </c>
      <c r="M37" s="161">
        <v>35</v>
      </c>
      <c r="N37" s="175" t="str">
        <f t="shared" si="11"/>
        <v/>
      </c>
      <c r="O37" s="175" t="str">
        <f t="shared" si="12"/>
        <v/>
      </c>
      <c r="Q37" s="161">
        <v>35</v>
      </c>
      <c r="R37" s="164" t="str">
        <f t="shared" si="7"/>
        <v>/</v>
      </c>
      <c r="S37" s="178" t="str">
        <f t="shared" si="8"/>
        <v>G</v>
      </c>
      <c r="T37" s="231" t="str">
        <f xml:space="preserve"> IFERROR( INDEX($K$3:$K$44, MATCH(表格1_3346[[#This Row],[鍵盤按鍵]], $J$3:$J$44,0)), "")</f>
        <v>ㆭ</v>
      </c>
      <c r="W37" s="256" cm="1">
        <f t="array" ref="W37">ROW() - ROW($2:$2)</f>
        <v>35</v>
      </c>
      <c r="X37" s="141" t="s">
        <v>113</v>
      </c>
      <c r="Y37" s="153" t="s">
        <v>147</v>
      </c>
      <c r="Z37" s="90" t="str">
        <f xml:space="preserve"> IFERROR( INDEX(表格1_3346[字典編碼], MATCH($X37, 表格1_3346[方音符號], 0)), "")</f>
        <v>M</v>
      </c>
      <c r="AA37" s="90" t="str">
        <f t="shared" si="10"/>
        <v>M</v>
      </c>
      <c r="AB37" s="257" t="str">
        <f xml:space="preserve"> IFERROR( INDEX(表格1_3346[鍵盤按鍵], MATCH($X37, 表格1_3346[方音符號], 0)), "")</f>
        <v>,</v>
      </c>
    </row>
    <row r="38" spans="5:29" ht="32.25">
      <c r="E38" s="161" cm="1">
        <f t="array" ref="E38" xml:space="preserve"> ROW() - ROW($2:$2)</f>
        <v>36</v>
      </c>
      <c r="F38" s="206" t="str">
        <f t="shared" si="1"/>
        <v>N</v>
      </c>
      <c r="G38" s="206" t="str">
        <f t="shared" si="2"/>
        <v>-</v>
      </c>
      <c r="I38" s="161">
        <v>36</v>
      </c>
      <c r="J38" s="176" t="str">
        <f t="shared" si="3"/>
        <v>-</v>
      </c>
      <c r="K38" s="176" t="str">
        <f t="shared" si="4"/>
        <v>ｎ</v>
      </c>
      <c r="M38" s="161">
        <v>36</v>
      </c>
      <c r="N38" s="175" t="str">
        <f t="shared" si="11"/>
        <v/>
      </c>
      <c r="O38" s="175" t="str">
        <f t="shared" si="12"/>
        <v/>
      </c>
      <c r="Q38" s="161">
        <v>36</v>
      </c>
      <c r="R38" s="164" t="str">
        <f t="shared" si="7"/>
        <v>-</v>
      </c>
      <c r="S38" s="178" t="str">
        <f t="shared" si="8"/>
        <v>N</v>
      </c>
      <c r="T38" s="231" t="str">
        <f xml:space="preserve"> IFERROR( INDEX($K$3:$K$44, MATCH(表格1_3346[[#This Row],[鍵盤按鍵]], $J$3:$J$44,0)), "")</f>
        <v>ｎ</v>
      </c>
      <c r="W38" s="258" cm="1">
        <f t="array" ref="W38">ROW() - ROW($2:$2)</f>
        <v>36</v>
      </c>
      <c r="X38" s="143" t="s">
        <v>101</v>
      </c>
      <c r="Y38" s="268" t="s">
        <v>152</v>
      </c>
      <c r="Z38" s="95" t="str">
        <f xml:space="preserve"> IFERROR( INDEX(表格1_3346[字典編碼], MATCH($X38, 表格1_3346[方音符號], 0)), "")</f>
        <v>Y</v>
      </c>
      <c r="AA38" s="95" t="str">
        <f t="shared" si="10"/>
        <v>Y</v>
      </c>
      <c r="AB38" s="259" t="str">
        <f xml:space="preserve"> IFERROR( INDEX(表格1_3346[鍵盤按鍵], MATCH($X38, 表格1_3346[方音符號], 0)), "")</f>
        <v>.</v>
      </c>
    </row>
    <row r="39" spans="5:29" ht="32.25">
      <c r="E39" s="161" cm="1">
        <f t="array" ref="E39" xml:space="preserve"> ROW() - ROW($2:$2)</f>
        <v>37</v>
      </c>
      <c r="F39" s="206" t="str">
        <f t="shared" si="1"/>
        <v>1</v>
      </c>
      <c r="G39" s="206" t="str">
        <f t="shared" si="2"/>
        <v xml:space="preserve"> </v>
      </c>
      <c r="I39" s="161">
        <v>37</v>
      </c>
      <c r="J39" s="176" t="str">
        <f t="shared" si="3"/>
        <v>4</v>
      </c>
      <c r="K39" s="176" t="str">
        <f t="shared" si="4"/>
        <v>ˋ</v>
      </c>
      <c r="M39" s="161">
        <v>37</v>
      </c>
      <c r="N39" s="175" t="str">
        <f t="shared" si="11"/>
        <v/>
      </c>
      <c r="O39" s="175" t="str">
        <f t="shared" si="12"/>
        <v/>
      </c>
      <c r="Q39" s="161">
        <v>37</v>
      </c>
      <c r="R39" s="228" t="str">
        <f t="shared" si="7"/>
        <v xml:space="preserve"> </v>
      </c>
      <c r="S39" s="229" t="str">
        <f t="shared" si="8"/>
        <v>1</v>
      </c>
      <c r="T39" s="232" t="str">
        <f xml:space="preserve"> IFERROR( INDEX($K$3:$K$44, MATCH(表格1_3346[[#This Row],[鍵盤按鍵]], $J$3:$J$44,0)), "")</f>
        <v/>
      </c>
      <c r="W39" s="252" cm="1">
        <f t="array" ref="W39">ROW() - ROW($2:$2)</f>
        <v>37</v>
      </c>
      <c r="X39" s="261" t="s">
        <v>614</v>
      </c>
      <c r="Y39" s="273">
        <v>1</v>
      </c>
      <c r="Z39" s="262">
        <v>1</v>
      </c>
      <c r="AA39" s="262">
        <f t="shared" si="10"/>
        <v>1</v>
      </c>
      <c r="AB39" s="263" t="s">
        <v>621</v>
      </c>
    </row>
    <row r="40" spans="5:29" ht="32.25">
      <c r="E40" s="161" cm="1">
        <f t="array" ref="E40" xml:space="preserve"> ROW() - ROW($2:$2)</f>
        <v>38</v>
      </c>
      <c r="F40" s="206" t="str">
        <f t="shared" si="1"/>
        <v>2</v>
      </c>
      <c r="G40" s="206" t="str">
        <f t="shared" si="2"/>
        <v>4</v>
      </c>
      <c r="I40" s="161">
        <v>38</v>
      </c>
      <c r="J40" s="176" t="str">
        <f t="shared" si="3"/>
        <v>3</v>
      </c>
      <c r="K40" s="176" t="str">
        <f t="shared" si="4"/>
        <v>˪</v>
      </c>
      <c r="M40" s="161">
        <v>38</v>
      </c>
      <c r="N40" s="175" t="str">
        <f t="shared" si="11"/>
        <v/>
      </c>
      <c r="O40" s="175" t="str">
        <f t="shared" si="12"/>
        <v/>
      </c>
      <c r="Q40" s="161">
        <v>38</v>
      </c>
      <c r="R40" s="164" t="str">
        <f t="shared" si="7"/>
        <v>4</v>
      </c>
      <c r="S40" s="178" t="str">
        <f t="shared" si="8"/>
        <v>2</v>
      </c>
      <c r="T40" s="231" t="str">
        <f xml:space="preserve"> IFERROR( INDEX($K$3:$K$44, MATCH(表格1_3346[[#This Row],[鍵盤按鍵]], $J$3:$J$44,0)), "")</f>
        <v>ˋ</v>
      </c>
      <c r="W40" s="254" cm="1">
        <f t="array" ref="W40">ROW() - ROW($2:$2)</f>
        <v>38</v>
      </c>
      <c r="X40" s="142" t="s">
        <v>14</v>
      </c>
      <c r="Y40" s="267">
        <v>2</v>
      </c>
      <c r="Z40" s="93" t="str">
        <f xml:space="preserve"> IFERROR( INDEX(表格1_3346[字典編碼], MATCH($X40, 表格1_3346[方音符號], 0)), "")</f>
        <v>2</v>
      </c>
      <c r="AA40" s="93" t="str">
        <f t="shared" ref="AA40:AA44" si="13">Z40</f>
        <v>2</v>
      </c>
      <c r="AB40" s="255" t="str">
        <f xml:space="preserve"> IFERROR( INDEX(表格1_3346[鍵盤按鍵], MATCH($X40, 表格1_3346[方音符號], 0)), "")</f>
        <v>4</v>
      </c>
    </row>
    <row r="41" spans="5:29" ht="32.25">
      <c r="E41" s="161" cm="1">
        <f t="array" ref="E41" xml:space="preserve"> ROW() - ROW($2:$2)</f>
        <v>39</v>
      </c>
      <c r="F41" s="206" t="str">
        <f t="shared" si="1"/>
        <v>3</v>
      </c>
      <c r="G41" s="206" t="str">
        <f t="shared" si="2"/>
        <v>3</v>
      </c>
      <c r="I41" s="161">
        <v>39</v>
      </c>
      <c r="J41" s="176" t="str">
        <f t="shared" si="3"/>
        <v>6</v>
      </c>
      <c r="K41" s="176" t="str">
        <f t="shared" si="4"/>
        <v>ˊ</v>
      </c>
      <c r="M41" s="161">
        <v>39</v>
      </c>
      <c r="N41" s="175" t="str">
        <f t="shared" si="11"/>
        <v/>
      </c>
      <c r="O41" s="175" t="str">
        <f t="shared" si="12"/>
        <v/>
      </c>
      <c r="Q41" s="161">
        <v>39</v>
      </c>
      <c r="R41" s="164" t="str">
        <f t="shared" si="7"/>
        <v>3</v>
      </c>
      <c r="S41" s="178" t="str">
        <f t="shared" si="8"/>
        <v>3</v>
      </c>
      <c r="T41" s="231" t="str">
        <f xml:space="preserve"> IFERROR( INDEX($K$3:$K$44, MATCH(表格1_3346[[#This Row],[鍵盤按鍵]], $J$3:$J$44,0)), "")</f>
        <v>˪</v>
      </c>
      <c r="W41" s="256" cm="1">
        <f t="array" ref="W41">ROW() - ROW($2:$2)</f>
        <v>39</v>
      </c>
      <c r="X41" s="141" t="s">
        <v>12</v>
      </c>
      <c r="Y41" s="153">
        <v>3</v>
      </c>
      <c r="Z41" s="90" t="str">
        <f xml:space="preserve"> IFERROR( INDEX(表格1_3346[字典編碼], MATCH($X41, 表格1_3346[方音符號], 0)), "")</f>
        <v>3</v>
      </c>
      <c r="AA41" s="90" t="str">
        <f t="shared" si="13"/>
        <v>3</v>
      </c>
      <c r="AB41" s="257" t="str">
        <f xml:space="preserve"> IFERROR( INDEX(表格1_3346[鍵盤按鍵], MATCH($X41, 表格1_3346[方音符號], 0)), "")</f>
        <v>3</v>
      </c>
    </row>
    <row r="42" spans="5:29" ht="32.25">
      <c r="E42" s="161" cm="1">
        <f t="array" ref="E42" xml:space="preserve"> ROW() - ROW($2:$2)</f>
        <v>40</v>
      </c>
      <c r="F42" s="206" t="str">
        <f t="shared" si="1"/>
        <v>5</v>
      </c>
      <c r="G42" s="206" t="str">
        <f t="shared" si="2"/>
        <v>6</v>
      </c>
      <c r="I42" s="161">
        <v>40</v>
      </c>
      <c r="J42" s="176" t="str">
        <f t="shared" si="3"/>
        <v>5</v>
      </c>
      <c r="K42" s="176" t="str">
        <f t="shared" si="4"/>
        <v>˫</v>
      </c>
      <c r="M42" s="161">
        <v>40</v>
      </c>
      <c r="N42" s="175" t="str">
        <f t="shared" si="11"/>
        <v/>
      </c>
      <c r="O42" s="175" t="str">
        <f t="shared" si="12"/>
        <v/>
      </c>
      <c r="Q42" s="161">
        <v>40</v>
      </c>
      <c r="R42" s="164" t="str">
        <f t="shared" si="7"/>
        <v>6</v>
      </c>
      <c r="S42" s="178" t="str">
        <f t="shared" si="8"/>
        <v>5</v>
      </c>
      <c r="T42" s="231" t="str">
        <f xml:space="preserve"> IFERROR( INDEX($K$3:$K$44, MATCH(表格1_3346[[#This Row],[鍵盤按鍵]], $J$3:$J$44,0)), "")</f>
        <v>ˊ</v>
      </c>
      <c r="W42" s="256" cm="1">
        <f t="array" ref="W42">ROW() - ROW($2:$2)</f>
        <v>40</v>
      </c>
      <c r="X42" s="141" t="s">
        <v>18</v>
      </c>
      <c r="Y42" s="153">
        <v>5</v>
      </c>
      <c r="Z42" s="90" t="str">
        <f xml:space="preserve"> IFERROR( INDEX(表格1_3346[字典編碼], MATCH($X42, 表格1_3346[方音符號], 0)), "")</f>
        <v>5</v>
      </c>
      <c r="AA42" s="90" t="str">
        <f t="shared" si="13"/>
        <v>5</v>
      </c>
      <c r="AB42" s="257" t="str">
        <f xml:space="preserve"> IFERROR( INDEX(表格1_3346[鍵盤按鍵], MATCH($X42, 表格1_3346[方音符號], 0)), "")</f>
        <v>6</v>
      </c>
    </row>
    <row r="43" spans="5:29" ht="32.25">
      <c r="E43" s="161" cm="1">
        <f t="array" ref="E43" xml:space="preserve"> ROW() - ROW($2:$2)</f>
        <v>41</v>
      </c>
      <c r="F43" s="206" t="str">
        <f t="shared" si="1"/>
        <v>7</v>
      </c>
      <c r="G43" s="206" t="str">
        <f t="shared" si="2"/>
        <v>5</v>
      </c>
      <c r="I43" s="161">
        <v>41</v>
      </c>
      <c r="J43" s="176" t="str">
        <f t="shared" si="3"/>
        <v>7</v>
      </c>
      <c r="K43" s="176" t="str">
        <f t="shared" si="4"/>
        <v>．</v>
      </c>
      <c r="M43" s="161">
        <v>41</v>
      </c>
      <c r="N43" s="175" t="str">
        <f t="shared" si="11"/>
        <v/>
      </c>
      <c r="O43" s="175" t="str">
        <f t="shared" si="12"/>
        <v/>
      </c>
      <c r="Q43" s="161">
        <v>41</v>
      </c>
      <c r="R43" s="164" t="str">
        <f t="shared" si="7"/>
        <v>5</v>
      </c>
      <c r="S43" s="178" t="str">
        <f t="shared" si="8"/>
        <v>7</v>
      </c>
      <c r="T43" s="231" t="str">
        <f xml:space="preserve"> IFERROR( INDEX($K$3:$K$44, MATCH(表格1_3346[[#This Row],[鍵盤按鍵]], $J$3:$J$44,0)), "")</f>
        <v>˫</v>
      </c>
      <c r="W43" s="256" cm="1">
        <f t="array" ref="W43">ROW() - ROW($2:$2)</f>
        <v>41</v>
      </c>
      <c r="X43" s="141" t="s">
        <v>16</v>
      </c>
      <c r="Y43" s="153">
        <v>7</v>
      </c>
      <c r="Z43" s="90" t="str">
        <f xml:space="preserve"> IFERROR( INDEX(表格1_3346[字典編碼], MATCH($X43, 表格1_3346[方音符號], 0)), "")</f>
        <v>7</v>
      </c>
      <c r="AA43" s="90" t="str">
        <f t="shared" si="13"/>
        <v>7</v>
      </c>
      <c r="AB43" s="257" t="str">
        <f xml:space="preserve"> IFERROR( INDEX(表格1_3346[鍵盤按鍵], MATCH($X43, 表格1_3346[方音符號], 0)), "")</f>
        <v>5</v>
      </c>
      <c r="AC43" s="260"/>
    </row>
    <row r="44" spans="5:29" ht="32.25">
      <c r="E44" s="161" cm="1">
        <f t="array" ref="E44" xml:space="preserve"> ROW() - ROW($2:$2)</f>
        <v>42</v>
      </c>
      <c r="F44" s="206" t="str">
        <f t="shared" si="1"/>
        <v>0</v>
      </c>
      <c r="G44" s="206" t="str">
        <f t="shared" si="2"/>
        <v>7</v>
      </c>
      <c r="I44" s="161">
        <v>42</v>
      </c>
      <c r="J44" s="176" t="str">
        <f t="shared" si="3"/>
        <v/>
      </c>
      <c r="K44" s="176" t="str">
        <f t="shared" si="4"/>
        <v/>
      </c>
      <c r="M44" s="161">
        <v>42</v>
      </c>
      <c r="N44" s="175" t="str">
        <f t="shared" si="11"/>
        <v/>
      </c>
      <c r="O44" s="175" t="str">
        <f t="shared" si="12"/>
        <v/>
      </c>
      <c r="Q44" s="161">
        <v>42</v>
      </c>
      <c r="R44" s="164" t="str">
        <f t="shared" si="7"/>
        <v>7</v>
      </c>
      <c r="S44" s="178" t="str">
        <f t="shared" si="8"/>
        <v>0</v>
      </c>
      <c r="T44" s="231" t="str">
        <f xml:space="preserve"> IFERROR( INDEX($K$3:$K$44, MATCH(表格1_3346[[#This Row],[鍵盤按鍵]], $J$3:$J$44,0)), "")</f>
        <v>．</v>
      </c>
      <c r="W44" s="258" cm="1">
        <f t="array" ref="W44">ROW() - ROW($2:$2)</f>
        <v>42</v>
      </c>
      <c r="X44" s="143" t="s">
        <v>123</v>
      </c>
      <c r="Y44" s="268">
        <v>8</v>
      </c>
      <c r="Z44" s="95">
        <v>0</v>
      </c>
      <c r="AA44" s="95">
        <f t="shared" si="13"/>
        <v>0</v>
      </c>
      <c r="AB44" s="259">
        <v>7</v>
      </c>
    </row>
    <row r="45" spans="5:29" ht="32.25">
      <c r="O45" s="161"/>
      <c r="W45" s="264" cm="1">
        <f t="array" ref="W45">ROW() - ROW($2:$2)</f>
        <v>43</v>
      </c>
      <c r="X45" s="144" t="s">
        <v>105</v>
      </c>
      <c r="Y45" s="269" t="s">
        <v>131</v>
      </c>
      <c r="Z45" s="97" t="str">
        <f xml:space="preserve"> IFERROR( INDEX(表格1_3346[字典編碼], MATCH($X45, 表格1_3346[方音符號], 0)), "")</f>
        <v/>
      </c>
      <c r="AA45" s="97"/>
      <c r="AB45" s="253" t="str">
        <f xml:space="preserve"> IFERROR( INDEX(表格1_3346[鍵盤按鍵], MATCH($X45, 表格1_3346[方音符號], 0)), "")</f>
        <v/>
      </c>
    </row>
    <row r="46" spans="5:29" ht="32.25">
      <c r="T46" s="234" t="str">
        <f xml:space="preserve"> _xlfn.CONCAT(S3:S38, S40:S44)</f>
        <v>pPmbtTndkKhjJSgqzcCsiuBaoøMIeUYLDQGN23570</v>
      </c>
      <c r="W46" s="254" cm="1">
        <f t="array" ref="W46">ROW() - ROW($2:$2)</f>
        <v>44</v>
      </c>
      <c r="X46" s="142" t="s">
        <v>116</v>
      </c>
      <c r="Y46" s="267" t="s">
        <v>155</v>
      </c>
      <c r="Z46" s="93" t="str">
        <f xml:space="preserve"> IFERROR( INDEX(表格1_3346[字典編碼], MATCH($X46, 表格1_3346[方音符號], 0)), "")</f>
        <v/>
      </c>
      <c r="AA46" s="93"/>
      <c r="AB46" s="255" t="str">
        <f xml:space="preserve"> IFERROR( INDEX(表格1_3346[鍵盤按鍵], MATCH($X46, 表格1_3346[方音符號], 0)), "")</f>
        <v/>
      </c>
    </row>
    <row r="47" spans="5:29" ht="32.25">
      <c r="T47" s="234" t="str">
        <f xml:space="preserve"> _xlfn.CONCAT(T3:T38, T40:T44)</f>
        <v>ㄅㄆㄇㆠㄉㄊㄋㄌㄍㄎㄏㄐㄑㄒㆣㄫㆡㄗㄘㄙㄧㄨㆬㄚㆦㄜㆰㄞㆤㄠㆲㄢㄣㄤㆭｎˋ˪ˊ˫．</v>
      </c>
      <c r="W47" s="256" cm="1">
        <f t="array" ref="W47">ROW() - ROW($2:$2)</f>
        <v>45</v>
      </c>
      <c r="X47" s="141" t="s">
        <v>117</v>
      </c>
      <c r="Y47" s="153" t="s">
        <v>157</v>
      </c>
      <c r="Z47" s="90" t="str">
        <f xml:space="preserve"> IFERROR( INDEX(表格1_3346[字典編碼], MATCH($X47, 表格1_3346[方音符號], 0)), "")</f>
        <v/>
      </c>
      <c r="AA47" s="90"/>
      <c r="AB47" s="257" t="str">
        <f xml:space="preserve"> IFERROR( INDEX(表格1_3346[鍵盤按鍵], MATCH($X47, 表格1_3346[方音符號], 0)), "")</f>
        <v/>
      </c>
    </row>
    <row r="48" spans="5:29" ht="32.25">
      <c r="R48" s="227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56" cm="1">
        <f t="array" ref="W48">ROW() - ROW($2:$2)</f>
        <v>46</v>
      </c>
      <c r="X48" s="141" t="s">
        <v>107</v>
      </c>
      <c r="Y48" s="153" t="s">
        <v>138</v>
      </c>
      <c r="Z48" s="90" t="str">
        <f xml:space="preserve"> IFERROR( INDEX(表格1_3346[字典編碼], MATCH($X48, 表格1_3346[方音符號], 0)), "")</f>
        <v/>
      </c>
      <c r="AA48" s="90"/>
      <c r="AB48" s="257" t="str">
        <f xml:space="preserve"> IFERROR( INDEX(表格1_3346[鍵盤按鍵], MATCH($X48, 表格1_3346[方音符號], 0)), "")</f>
        <v/>
      </c>
    </row>
    <row r="49" spans="23:28" ht="32.25">
      <c r="W49" s="256" cm="1">
        <f t="array" ref="W49">ROW() - ROW($2:$2)</f>
        <v>47</v>
      </c>
      <c r="X49" s="141" t="s">
        <v>111</v>
      </c>
      <c r="Y49" s="153" t="s">
        <v>144</v>
      </c>
      <c r="Z49" s="90" t="str">
        <f xml:space="preserve"> IFERROR( INDEX(表格1_3346[字典編碼], MATCH($X49, 表格1_3346[方音符號], 0)), "")</f>
        <v/>
      </c>
      <c r="AA49" s="90"/>
      <c r="AB49" s="257" t="str">
        <f xml:space="preserve"> IFERROR( INDEX(表格1_3346[鍵盤按鍵], MATCH($X49, 表格1_3346[方音符號], 0)), "")</f>
        <v/>
      </c>
    </row>
    <row r="50" spans="23:28" ht="32.25">
      <c r="W50" s="256" cm="1">
        <f t="array" ref="W50">ROW() - ROW($2:$2)</f>
        <v>48</v>
      </c>
      <c r="X50" s="141" t="s">
        <v>110</v>
      </c>
      <c r="Y50" s="153" t="s">
        <v>142</v>
      </c>
      <c r="Z50" s="90" t="str">
        <f xml:space="preserve"> IFERROR( INDEX(表格1_3346[字典編碼], MATCH($X50, 表格1_3346[方音符號], 0)), "")</f>
        <v/>
      </c>
      <c r="AA50" s="90"/>
      <c r="AB50" s="257" t="str">
        <f xml:space="preserve"> IFERROR( INDEX(表格1_3346[鍵盤按鍵], MATCH($X50, 表格1_3346[方音符號], 0)), "")</f>
        <v/>
      </c>
    </row>
    <row r="51" spans="23:28" ht="32.25">
      <c r="W51" s="258" cm="1">
        <f t="array" ref="W51">ROW() - ROW($2:$2)</f>
        <v>49</v>
      </c>
      <c r="X51" s="143" t="s">
        <v>108</v>
      </c>
      <c r="Y51" s="268" t="s">
        <v>140</v>
      </c>
      <c r="Z51" s="95" t="str">
        <f xml:space="preserve"> IFERROR( INDEX(表格1_3346[字典編碼], MATCH($X51, 表格1_3346[方音符號], 0)), "")</f>
        <v/>
      </c>
      <c r="AA51" s="95"/>
      <c r="AB51" s="259" t="str">
        <f xml:space="preserve"> IFERROR( INDEX(表格1_3346[鍵盤按鍵], MATCH($X51, 表格1_3346[方音符號], 0)), "")</f>
        <v/>
      </c>
    </row>
    <row r="52" spans="23:28" ht="32.25">
      <c r="W52" s="254" cm="1">
        <f t="array" ref="W52">ROW() - ROW($2:$2)</f>
        <v>50</v>
      </c>
      <c r="X52" s="142" t="s">
        <v>112</v>
      </c>
      <c r="Y52" s="267" t="s">
        <v>146</v>
      </c>
      <c r="Z52" s="93" t="str">
        <f xml:space="preserve"> IFERROR( INDEX(表格1_3346[字典編碼], MATCH($X52, 表格1_3346[方音符號], 0)), "")</f>
        <v/>
      </c>
      <c r="AA52" s="93"/>
      <c r="AB52" s="255" t="str">
        <f xml:space="preserve"> IFERROR( INDEX(表格1_3346[鍵盤按鍵], MATCH($X52, 表格1_3346[方音符號], 0)), "")</f>
        <v/>
      </c>
    </row>
    <row r="53" spans="23:28" ht="32.25">
      <c r="W53" s="258" cm="1">
        <f t="array" ref="W53">ROW() - ROW($2:$2)</f>
        <v>51</v>
      </c>
      <c r="X53" s="143" t="s">
        <v>114</v>
      </c>
      <c r="Y53" s="268" t="s">
        <v>148</v>
      </c>
      <c r="Z53" s="95" t="str">
        <f xml:space="preserve"> IFERROR( INDEX(表格1_3346[字典編碼], MATCH($X53, 表格1_3346[方音符號], 0)), "")</f>
        <v/>
      </c>
      <c r="AA53" s="95"/>
      <c r="AB53" s="259" t="str">
        <f xml:space="preserve"> IFERROR( INDEX(表格1_3346[鍵盤按鍵], MATCH($X53, 表格1_3346[方音符號], 0)), "")</f>
        <v/>
      </c>
    </row>
    <row r="54" spans="23:28" ht="32.25">
      <c r="W54" s="254" cm="1">
        <f t="array" ref="W54">ROW() - ROW($2:$2)</f>
        <v>52</v>
      </c>
      <c r="X54" s="142" t="s">
        <v>115</v>
      </c>
      <c r="Y54" s="270" t="s">
        <v>153</v>
      </c>
      <c r="Z54" s="93" t="str">
        <f xml:space="preserve"> IFERROR( INDEX(表格1_3346[字典編碼], MATCH($X54, 表格1_3346[方音符號], 0)), "")</f>
        <v/>
      </c>
      <c r="AA54" s="93"/>
      <c r="AB54" s="255" t="str">
        <f xml:space="preserve"> IFERROR( INDEX(表格1_3346[鍵盤按鍵], MATCH($X54, 表格1_3346[方音符號], 0)), "")</f>
        <v/>
      </c>
    </row>
    <row r="55" spans="23:28" ht="32.25">
      <c r="W55" s="256" cm="1">
        <f t="array" ref="W55">ROW() - ROW($2:$2)</f>
        <v>53</v>
      </c>
      <c r="X55" s="141" t="s">
        <v>119</v>
      </c>
      <c r="Y55" s="271" t="s">
        <v>615</v>
      </c>
      <c r="Z55" s="90" t="str">
        <f xml:space="preserve"> IFERROR( INDEX(表格1_3346[字典編碼], MATCH($X55, 表格1_3346[方音符號], 0)), "")</f>
        <v/>
      </c>
      <c r="AA55" s="90"/>
      <c r="AB55" s="257" t="str">
        <f xml:space="preserve"> IFERROR( INDEX(表格1_3346[鍵盤按鍵], MATCH($X55, 表格1_3346[方音符號], 0)), "")</f>
        <v/>
      </c>
    </row>
    <row r="56" spans="23:28" ht="32.25">
      <c r="W56" s="256" cm="1">
        <f t="array" ref="W56">ROW() - ROW($2:$2)</f>
        <v>54</v>
      </c>
      <c r="X56" s="141" t="s">
        <v>120</v>
      </c>
      <c r="Y56" s="271" t="s">
        <v>616</v>
      </c>
      <c r="Z56" s="90" t="str">
        <f xml:space="preserve"> IFERROR( INDEX(表格1_3346[字典編碼], MATCH($X56, 表格1_3346[方音符號], 0)), "")</f>
        <v/>
      </c>
      <c r="AA56" s="90"/>
      <c r="AB56" s="257" t="str">
        <f xml:space="preserve"> IFERROR( INDEX(表格1_3346[鍵盤按鍵], MATCH($X56, 表格1_3346[方音符號], 0)), "")</f>
        <v/>
      </c>
    </row>
    <row r="57" spans="23:28" ht="32.25">
      <c r="W57" s="256" cm="1">
        <f t="array" ref="W57">ROW() - ROW($2:$2)</f>
        <v>55</v>
      </c>
      <c r="X57" s="141" t="s">
        <v>121</v>
      </c>
      <c r="Y57" s="271" t="s">
        <v>617</v>
      </c>
      <c r="Z57" s="90" t="str">
        <f xml:space="preserve"> IFERROR( INDEX(表格1_3346[字典編碼], MATCH($X57, 表格1_3346[方音符號], 0)), "")</f>
        <v/>
      </c>
      <c r="AA57" s="90"/>
      <c r="AB57" s="257" t="str">
        <f xml:space="preserve"> IFERROR( INDEX(表格1_3346[鍵盤按鍵], MATCH($X57, 表格1_3346[方音符號], 0)), "")</f>
        <v/>
      </c>
    </row>
    <row r="58" spans="23:28" ht="32.25">
      <c r="W58" s="258" cm="1">
        <f t="array" ref="W58">ROW() - ROW($2:$2)</f>
        <v>56</v>
      </c>
      <c r="X58" s="143" t="s">
        <v>122</v>
      </c>
      <c r="Y58" s="272" t="s">
        <v>618</v>
      </c>
      <c r="Z58" s="95" t="str">
        <f xml:space="preserve"> IFERROR( INDEX(表格1_3346[字典編碼], MATCH($X58, 表格1_3346[方音符號], 0)), "")</f>
        <v/>
      </c>
      <c r="AA58" s="95"/>
      <c r="AB58" s="259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C61"/>
  <sheetViews>
    <sheetView workbookViewId="0">
      <selection activeCell="W18" sqref="W18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140" customWidth="1"/>
    <col min="4" max="4" width="10.59765625" style="105" customWidth="1"/>
    <col min="5" max="6" width="10.59765625" style="99" customWidth="1"/>
    <col min="7" max="7" width="10.09765625" style="13" customWidth="1"/>
    <col min="8" max="8" width="5.59765625" style="13" customWidth="1"/>
    <col min="9" max="9" width="10.59765625" style="99" customWidth="1"/>
    <col min="10" max="10" width="10.59765625" style="140" customWidth="1"/>
    <col min="11" max="11" width="10.59765625" style="105" customWidth="1"/>
    <col min="12" max="12" width="10.59765625" style="99" customWidth="1"/>
    <col min="13" max="13" width="4.09765625" style="13" customWidth="1"/>
    <col min="14" max="14" width="5.59765625" style="13" customWidth="1"/>
    <col min="15" max="15" width="10.59765625" style="99" customWidth="1"/>
    <col min="16" max="16" width="10.59765625" style="140" customWidth="1"/>
    <col min="17" max="17" width="10.59765625" style="105" customWidth="1"/>
    <col min="18" max="18" width="10.59765625" style="99" customWidth="1"/>
    <col min="19" max="19" width="4.09765625" style="13" customWidth="1"/>
    <col min="20" max="20" width="5.69921875" style="13" customWidth="1"/>
    <col min="21" max="21" width="10.8984375" style="373"/>
    <col min="22" max="16384" width="10.8984375" style="13"/>
  </cols>
  <sheetData>
    <row r="1" spans="2:29">
      <c r="U1" s="375" t="s">
        <v>671</v>
      </c>
      <c r="V1" s="380" t="e">
        <f xml:space="preserve"> _xlfn.CONCAT("'",#REF!, "'")</f>
        <v>#REF!</v>
      </c>
      <c r="W1" s="378"/>
      <c r="X1" s="378"/>
      <c r="Y1" s="378"/>
      <c r="Z1" s="378"/>
      <c r="AA1" s="13" t="e">
        <f xml:space="preserve"> LEN(V1)-2</f>
        <v>#REF!</v>
      </c>
    </row>
    <row r="2" spans="2:29">
      <c r="B2" s="372" t="s">
        <v>815</v>
      </c>
      <c r="H2" s="372" t="s">
        <v>413</v>
      </c>
      <c r="N2" s="372" t="s">
        <v>830</v>
      </c>
      <c r="U2" s="375" t="s">
        <v>835</v>
      </c>
      <c r="V2" s="380" t="e">
        <f xml:space="preserve"> _xlfn.CONCAT("'",#REF!, "'")</f>
        <v>#REF!</v>
      </c>
      <c r="W2" s="378"/>
      <c r="X2" s="378"/>
      <c r="Y2" s="378"/>
      <c r="Z2" s="378"/>
    </row>
    <row r="3" spans="2:29" s="391" customFormat="1" ht="31.5">
      <c r="B3" s="392" t="s">
        <v>838</v>
      </c>
      <c r="C3" s="393"/>
      <c r="D3" s="394"/>
      <c r="E3" s="395"/>
      <c r="F3" s="395"/>
      <c r="H3" s="392" t="s">
        <v>836</v>
      </c>
      <c r="I3" s="395"/>
      <c r="J3" s="393"/>
      <c r="K3" s="394"/>
      <c r="L3" s="395"/>
      <c r="N3" s="392" t="s">
        <v>837</v>
      </c>
      <c r="O3" s="395"/>
      <c r="P3" s="393"/>
      <c r="Q3" s="394"/>
      <c r="R3" s="395"/>
      <c r="U3" s="396"/>
      <c r="V3" s="397"/>
      <c r="W3" s="398"/>
      <c r="X3" s="398"/>
      <c r="Y3" s="398"/>
      <c r="Z3" s="398"/>
    </row>
    <row r="4" spans="2:29" ht="12" customHeight="1"/>
    <row r="5" spans="2:29" s="15" customFormat="1" ht="23.25">
      <c r="B5" s="359" t="s">
        <v>103</v>
      </c>
      <c r="C5" s="361" t="s">
        <v>104</v>
      </c>
      <c r="D5" s="362" t="s">
        <v>844</v>
      </c>
      <c r="E5" s="364" t="s">
        <v>873</v>
      </c>
      <c r="F5" s="365" t="s">
        <v>167</v>
      </c>
      <c r="H5" s="546" t="s">
        <v>103</v>
      </c>
      <c r="I5" s="547" t="s">
        <v>167</v>
      </c>
      <c r="J5" s="548" t="s">
        <v>104</v>
      </c>
      <c r="K5" s="549" t="s">
        <v>844</v>
      </c>
      <c r="L5" s="550" t="s">
        <v>921</v>
      </c>
      <c r="N5" s="359" t="s">
        <v>103</v>
      </c>
      <c r="O5" s="360" t="s">
        <v>167</v>
      </c>
      <c r="P5" s="361" t="s">
        <v>104</v>
      </c>
      <c r="Q5" s="362" t="s">
        <v>844</v>
      </c>
      <c r="R5" s="363" t="s">
        <v>921</v>
      </c>
      <c r="U5" s="374"/>
    </row>
    <row r="6" spans="2:29">
      <c r="B6" s="366">
        <f xml:space="preserve"> ROW() - 5</f>
        <v>1</v>
      </c>
      <c r="C6" s="141" t="s">
        <v>8</v>
      </c>
      <c r="D6" s="153" t="s">
        <v>9</v>
      </c>
      <c r="E6" s="90" t="s">
        <v>9</v>
      </c>
      <c r="F6" s="91">
        <v>1</v>
      </c>
      <c r="H6" s="254">
        <v>1</v>
      </c>
      <c r="I6" s="94">
        <v>1</v>
      </c>
      <c r="J6" s="142" t="s">
        <v>8</v>
      </c>
      <c r="K6" s="101" t="str" cm="1">
        <f t="array" ref="K6" xml:space="preserve"> IFERROR( INDEX($D$6:$D$57, MATCH(TRUE, EXACT($J6, $C$6:$C$57),0)), "")</f>
        <v>p</v>
      </c>
      <c r="L6" s="353" t="str" cm="1">
        <f t="array" ref="L6" xml:space="preserve"> IFERROR( INDEX($E$6:$E$57, MATCH(TRUE, EXACT($J6, $C$6:$C$57),0)), "")</f>
        <v>p</v>
      </c>
      <c r="N6" s="254">
        <v>1</v>
      </c>
      <c r="O6" s="379" t="s">
        <v>634</v>
      </c>
      <c r="P6" s="142" t="str">
        <f>C7</f>
        <v>ㆠ</v>
      </c>
      <c r="Q6" s="101" t="str" cm="1">
        <f t="array" ref="Q6" xml:space="preserve"> IFERROR( INDEX($D$6:$D$57, MATCH(TRUE, EXACT($P6, $C$6:$C$57),0)), "")</f>
        <v>b</v>
      </c>
      <c r="R6" s="353" t="str" cm="1">
        <f t="array" ref="R6" xml:space="preserve"> IFERROR( INDEX($E$6:$E$57, MATCH(TRUE, EXACT($P6, $C$6:$C$57),0)), "")</f>
        <v>b</v>
      </c>
      <c r="U6" s="375" t="s">
        <v>831</v>
      </c>
      <c r="X6" s="377" t="e">
        <f xml:space="preserve"> "- 'xlit|" &amp; U7 &amp; "|" &amp; U8 &amp; "|'"</f>
        <v>#REF!</v>
      </c>
    </row>
    <row r="7" spans="2:29">
      <c r="B7" s="366">
        <f t="shared" ref="B7:B61" si="0" xml:space="preserve"> ROW() - 5</f>
        <v>2</v>
      </c>
      <c r="C7" s="141" t="s">
        <v>90</v>
      </c>
      <c r="D7" s="153" t="s">
        <v>91</v>
      </c>
      <c r="E7" s="92" t="s">
        <v>91</v>
      </c>
      <c r="F7" s="91" t="s">
        <v>805</v>
      </c>
      <c r="H7" s="256">
        <f>H6+1</f>
        <v>2</v>
      </c>
      <c r="I7" s="91" t="s">
        <v>203</v>
      </c>
      <c r="J7" s="141" t="s">
        <v>37</v>
      </c>
      <c r="K7" s="100" t="str" cm="1">
        <f t="array" ref="K7" xml:space="preserve"> IFERROR( INDEX($D$6:$D$57, MATCH(TRUE, EXACT($J7, $C$6:$C$57),0)), "")</f>
        <v>ph</v>
      </c>
      <c r="L7" s="354" t="str" cm="1">
        <f t="array" ref="L7" xml:space="preserve"> IFERROR( INDEX($E$6:$E$57, MATCH(TRUE, EXACT($J7, $C$6:$C$57),0)), "")</f>
        <v>P</v>
      </c>
      <c r="N7" s="256">
        <f>N6+1</f>
        <v>2</v>
      </c>
      <c r="O7" s="91" t="s">
        <v>628</v>
      </c>
      <c r="P7" s="141"/>
      <c r="Q7" s="100" t="str" cm="1">
        <f t="array" ref="Q7" xml:space="preserve"> IFERROR( INDEX($D$6:$D$57, MATCH(TRUE, EXACT($P7, $C$6:$C$57),0)), "")</f>
        <v/>
      </c>
      <c r="R7" s="354" t="str" cm="1">
        <f t="array" ref="R7" xml:space="preserve"> IFERROR( INDEX($E$6:$E$57, MATCH(TRUE, EXACT($P7, $C$6:$C$57),0)), "")</f>
        <v/>
      </c>
      <c r="T7" s="384" t="e">
        <f xml:space="preserve"> LEN(U7)</f>
        <v>#REF!</v>
      </c>
      <c r="U7" s="373" t="e">
        <f xml:space="preserve"> _xlfn.CONCAT(#REF!)</f>
        <v>#REF!</v>
      </c>
      <c r="AB7" s="388" t="s">
        <v>649</v>
      </c>
      <c r="AC7" s="389" t="e">
        <f xml:space="preserve"> FIND(AB7, U7, 1)</f>
        <v>#REF!</v>
      </c>
    </row>
    <row r="8" spans="2:29" ht="33">
      <c r="B8" s="366">
        <f t="shared" si="0"/>
        <v>3</v>
      </c>
      <c r="C8" s="141" t="s">
        <v>37</v>
      </c>
      <c r="D8" s="153" t="s">
        <v>38</v>
      </c>
      <c r="E8" s="90" t="s">
        <v>33</v>
      </c>
      <c r="F8" s="91" t="s">
        <v>164</v>
      </c>
      <c r="H8" s="256">
        <f t="shared" ref="H8:H60" si="1">H7+1</f>
        <v>3</v>
      </c>
      <c r="I8" s="91" t="s">
        <v>137</v>
      </c>
      <c r="J8" s="141" t="s">
        <v>55</v>
      </c>
      <c r="K8" s="100" t="str" cm="1">
        <f t="array" ref="K8" xml:space="preserve"> IFERROR( INDEX($D$6:$D$57, MATCH(TRUE, EXACT($J8, $C$6:$C$57),0)), "")</f>
        <v>m</v>
      </c>
      <c r="L8" s="355" t="str" cm="1">
        <f t="array" ref="L8" xml:space="preserve"> IFERROR( INDEX($E$6:$E$57, MATCH(TRUE, EXACT($J8, $C$6:$C$57),0)), "")</f>
        <v>m</v>
      </c>
      <c r="N8" s="256">
        <f t="shared" ref="N8:N60" si="2">N7+1</f>
        <v>3</v>
      </c>
      <c r="O8" s="91" t="s">
        <v>210</v>
      </c>
      <c r="P8" s="141"/>
      <c r="Q8" s="100" t="str" cm="1">
        <f t="array" ref="Q8" xml:space="preserve"> IFERROR( INDEX($D$6:$D$57, MATCH(TRUE, EXACT($P8, $C$6:$C$57),0)), "")</f>
        <v/>
      </c>
      <c r="R8" s="355" t="str" cm="1">
        <f t="array" ref="R8" xml:space="preserve"> IFERROR( INDEX($E$6:$E$57, MATCH(TRUE, EXACT($P8, $C$6:$C$57),0)), "")</f>
        <v/>
      </c>
      <c r="T8" s="384" t="e">
        <f xml:space="preserve"> LEN(U8)</f>
        <v>#REF!</v>
      </c>
      <c r="U8" s="373" t="e">
        <f xml:space="preserve"> _xlfn.CONCAT(#REF!)</f>
        <v>#REF!</v>
      </c>
      <c r="AB8" s="390" t="e">
        <f xml:space="preserve"> MID(U8, AC7, 1)</f>
        <v>#REF!</v>
      </c>
    </row>
    <row r="9" spans="2:29">
      <c r="B9" s="366">
        <f t="shared" si="0"/>
        <v>4</v>
      </c>
      <c r="C9" s="141" t="s">
        <v>55</v>
      </c>
      <c r="D9" s="153" t="s">
        <v>66</v>
      </c>
      <c r="E9" s="90" t="s">
        <v>66</v>
      </c>
      <c r="F9" s="91" t="s">
        <v>21</v>
      </c>
      <c r="H9" s="258">
        <f t="shared" si="1"/>
        <v>4</v>
      </c>
      <c r="I9" s="96" t="s">
        <v>204</v>
      </c>
      <c r="J9" s="143" t="s">
        <v>807</v>
      </c>
      <c r="K9" s="102" t="str" cm="1">
        <f t="array" ref="K9" xml:space="preserve"> IFERROR( INDEX($D$6:$D$57, MATCH(TRUE, EXACT($J9, $C$6:$C$57),0)), "")</f>
        <v/>
      </c>
      <c r="L9" s="356" t="str" cm="1">
        <f t="array" ref="L9" xml:space="preserve"> IFERROR( INDEX($E$6:$E$57, MATCH(TRUE, EXACT($J9, $C$6:$C$57),0)), "")</f>
        <v/>
      </c>
      <c r="N9" s="258">
        <f t="shared" si="2"/>
        <v>4</v>
      </c>
      <c r="O9" s="96" t="s">
        <v>206</v>
      </c>
      <c r="P9" s="143"/>
      <c r="Q9" s="102" t="str" cm="1">
        <f t="array" ref="Q9" xml:space="preserve"> IFERROR( INDEX($D$6:$D$57, MATCH(TRUE, EXACT($P9, $C$6:$C$57),0)), "")</f>
        <v/>
      </c>
      <c r="R9" s="356" t="str" cm="1">
        <f t="array" ref="R9" xml:space="preserve"> IFERROR( INDEX($E$6:$E$57, MATCH(TRUE, EXACT($P9, $C$6:$C$57),0)), "")</f>
        <v/>
      </c>
    </row>
    <row r="10" spans="2:29">
      <c r="B10" s="367">
        <f t="shared" si="0"/>
        <v>5</v>
      </c>
      <c r="C10" s="142" t="s">
        <v>10</v>
      </c>
      <c r="D10" s="267" t="s">
        <v>11</v>
      </c>
      <c r="E10" s="93" t="s">
        <v>11</v>
      </c>
      <c r="F10" s="94">
        <v>2</v>
      </c>
      <c r="H10" s="256">
        <f t="shared" si="1"/>
        <v>5</v>
      </c>
      <c r="I10" s="91">
        <v>2</v>
      </c>
      <c r="J10" s="141" t="s">
        <v>10</v>
      </c>
      <c r="K10" s="100" t="str" cm="1">
        <f t="array" ref="K10" xml:space="preserve"> IFERROR( INDEX($D$6:$D$57, MATCH(TRUE, EXACT($J10, $C$6:$C$57),0)), "")</f>
        <v>t</v>
      </c>
      <c r="L10" s="354" t="str" cm="1">
        <f t="array" ref="L10" xml:space="preserve"> IFERROR( INDEX($E$6:$E$57, MATCH(TRUE, EXACT($J10, $C$6:$C$57),0)), "")</f>
        <v>t</v>
      </c>
      <c r="N10" s="254">
        <f t="shared" si="2"/>
        <v>5</v>
      </c>
      <c r="O10" s="358" t="s">
        <v>816</v>
      </c>
      <c r="P10" s="142"/>
      <c r="Q10" s="101" t="str" cm="1">
        <f t="array" ref="Q10" xml:space="preserve"> IFERROR( INDEX($D$6:$D$57, MATCH(TRUE, EXACT($P10, $C$6:$C$57),0)), "")</f>
        <v/>
      </c>
      <c r="R10" s="353" t="str" cm="1">
        <f t="array" ref="R10" xml:space="preserve"> IFERROR( INDEX($E$6:$E$57, MATCH(TRUE, EXACT($P10, $C$6:$C$57),0)), "")</f>
        <v/>
      </c>
      <c r="U10" s="375" t="s">
        <v>832</v>
      </c>
      <c r="X10" s="377" t="e">
        <f xml:space="preserve"> "- 'xlit|" &amp; U11 &amp; "|" &amp; U12 &amp; "|'"</f>
        <v>#REF!</v>
      </c>
    </row>
    <row r="11" spans="2:29">
      <c r="B11" s="366">
        <f t="shared" si="0"/>
        <v>6</v>
      </c>
      <c r="C11" s="141" t="s">
        <v>39</v>
      </c>
      <c r="D11" s="153" t="s">
        <v>40</v>
      </c>
      <c r="E11" s="90" t="s">
        <v>28</v>
      </c>
      <c r="F11" s="91" t="s">
        <v>170</v>
      </c>
      <c r="H11" s="256">
        <f t="shared" si="1"/>
        <v>6</v>
      </c>
      <c r="I11" s="91" t="s">
        <v>248</v>
      </c>
      <c r="J11" s="141" t="s">
        <v>39</v>
      </c>
      <c r="K11" s="100" t="str" cm="1">
        <f t="array" ref="K11" xml:space="preserve"> IFERROR( INDEX($D$6:$D$57, MATCH(TRUE, EXACT($J11, $C$6:$C$57),0)), "")</f>
        <v>th</v>
      </c>
      <c r="L11" s="354" t="str" cm="1">
        <f t="array" ref="L11" xml:space="preserve"> IFERROR( INDEX($E$6:$E$57, MATCH(TRUE, EXACT($J11, $C$6:$C$57),0)), "")</f>
        <v>T</v>
      </c>
      <c r="N11" s="256">
        <f t="shared" si="2"/>
        <v>6</v>
      </c>
      <c r="O11" s="91" t="s">
        <v>623</v>
      </c>
      <c r="P11" s="141"/>
      <c r="Q11" s="100" t="str" cm="1">
        <f t="array" ref="Q11" xml:space="preserve"> IFERROR( INDEX($D$6:$D$57, MATCH(TRUE, EXACT($P11, $C$6:$C$57),0)), "")</f>
        <v/>
      </c>
      <c r="R11" s="354" t="str" cm="1">
        <f t="array" ref="R11" xml:space="preserve"> IFERROR( INDEX($E$6:$E$57, MATCH(TRUE, EXACT($P11, $C$6:$C$57),0)), "")</f>
        <v/>
      </c>
      <c r="T11" s="384" t="e">
        <f xml:space="preserve"> LEN(U11)</f>
        <v>#REF!</v>
      </c>
      <c r="U11" s="373" t="e">
        <f xml:space="preserve"> _xlfn.CONCAT(#REF!,#REF!)</f>
        <v>#REF!</v>
      </c>
    </row>
    <row r="12" spans="2:29">
      <c r="B12" s="366">
        <f t="shared" si="0"/>
        <v>7</v>
      </c>
      <c r="C12" s="141" t="s">
        <v>67</v>
      </c>
      <c r="D12" s="153" t="s">
        <v>68</v>
      </c>
      <c r="E12" s="90" t="s">
        <v>68</v>
      </c>
      <c r="F12" s="91" t="s">
        <v>99</v>
      </c>
      <c r="H12" s="256">
        <f t="shared" si="1"/>
        <v>7</v>
      </c>
      <c r="I12" s="91" t="s">
        <v>136</v>
      </c>
      <c r="J12" s="141" t="s">
        <v>67</v>
      </c>
      <c r="K12" s="100" t="str" cm="1">
        <f t="array" ref="K12" xml:space="preserve"> IFERROR( INDEX($D$6:$D$57, MATCH(TRUE, EXACT($J12, $C$6:$C$57),0)), "")</f>
        <v>n</v>
      </c>
      <c r="L12" s="355" t="str" cm="1">
        <f t="array" ref="L12" xml:space="preserve"> IFERROR( INDEX($E$6:$E$57, MATCH(TRUE, EXACT($J12, $C$6:$C$57),0)), "")</f>
        <v>n</v>
      </c>
      <c r="N12" s="256">
        <f t="shared" si="2"/>
        <v>7</v>
      </c>
      <c r="O12" s="91" t="s">
        <v>654</v>
      </c>
      <c r="P12" s="141"/>
      <c r="Q12" s="100" t="str" cm="1">
        <f t="array" ref="Q12" xml:space="preserve"> IFERROR( INDEX($D$6:$D$57, MATCH(TRUE, EXACT($P12, $C$6:$C$57),0)), "")</f>
        <v/>
      </c>
      <c r="R12" s="355" t="str" cm="1">
        <f t="array" ref="R12" xml:space="preserve"> IFERROR( INDEX($E$6:$E$57, MATCH(TRUE, EXACT($P12, $C$6:$C$57),0)), "")</f>
        <v/>
      </c>
      <c r="T12" s="384" t="e">
        <f xml:space="preserve"> LEN(U12)</f>
        <v>#REF!</v>
      </c>
      <c r="U12" s="383" t="e">
        <f xml:space="preserve"> _xlfn.CONCAT(#REF!,#REF!)</f>
        <v>#REF!</v>
      </c>
    </row>
    <row r="13" spans="2:29">
      <c r="B13" s="368">
        <f t="shared" si="0"/>
        <v>8</v>
      </c>
      <c r="C13" s="143" t="s">
        <v>92</v>
      </c>
      <c r="D13" s="268" t="s">
        <v>93</v>
      </c>
      <c r="E13" s="95" t="s">
        <v>93</v>
      </c>
      <c r="F13" s="96" t="s">
        <v>171</v>
      </c>
      <c r="H13" s="258">
        <f t="shared" si="1"/>
        <v>8</v>
      </c>
      <c r="I13" s="96" t="s">
        <v>250</v>
      </c>
      <c r="J13" s="143" t="s">
        <v>92</v>
      </c>
      <c r="K13" s="102" t="str" cm="1">
        <f t="array" ref="K13" xml:space="preserve"> IFERROR( INDEX($D$6:$D$57, MATCH(TRUE, EXACT($J13, $C$6:$C$57),0)), "")</f>
        <v>l</v>
      </c>
      <c r="L13" s="356" t="str" cm="1">
        <f t="array" ref="L13" xml:space="preserve"> IFERROR( INDEX($E$6:$E$57, MATCH(TRUE, EXACT($J13, $C$6:$C$57),0)), "")</f>
        <v>l</v>
      </c>
      <c r="N13" s="258">
        <f t="shared" si="2"/>
        <v>8</v>
      </c>
      <c r="O13" s="96" t="s">
        <v>651</v>
      </c>
      <c r="P13" s="143"/>
      <c r="Q13" s="102" t="str" cm="1">
        <f t="array" ref="Q13" xml:space="preserve"> IFERROR( INDEX($D$6:$D$57, MATCH(TRUE, EXACT($P13, $C$6:$C$57),0)), "")</f>
        <v/>
      </c>
      <c r="R13" s="356" t="str" cm="1">
        <f t="array" ref="R13" xml:space="preserve"> IFERROR( INDEX($E$6:$E$57, MATCH(TRUE, EXACT($P13, $C$6:$C$57),0)), "")</f>
        <v/>
      </c>
    </row>
    <row r="14" spans="2:29">
      <c r="B14" s="366">
        <f t="shared" si="0"/>
        <v>9</v>
      </c>
      <c r="C14" s="141" t="s">
        <v>41</v>
      </c>
      <c r="D14" s="153" t="s">
        <v>42</v>
      </c>
      <c r="E14" s="90" t="s">
        <v>42</v>
      </c>
      <c r="F14" s="91" t="s">
        <v>53</v>
      </c>
      <c r="H14" s="254">
        <f t="shared" si="1"/>
        <v>9</v>
      </c>
      <c r="I14" s="94">
        <v>3</v>
      </c>
      <c r="J14" s="142"/>
      <c r="K14" s="101" t="str" cm="1">
        <f t="array" ref="K14" xml:space="preserve"> IFERROR( INDEX($D$6:$D$57, MATCH(TRUE, EXACT($J14, $C$6:$C$57),0)), "")</f>
        <v/>
      </c>
      <c r="L14" s="353" t="str" cm="1">
        <f t="array" ref="L14" xml:space="preserve"> IFERROR( INDEX($E$6:$E$57, MATCH(TRUE, EXACT($J14, $C$6:$C$57),0)), "")</f>
        <v/>
      </c>
      <c r="N14" s="254">
        <f t="shared" si="2"/>
        <v>9</v>
      </c>
      <c r="O14" s="358" t="s">
        <v>817</v>
      </c>
      <c r="P14" s="142"/>
      <c r="Q14" s="101" t="str" cm="1">
        <f t="array" ref="Q14" xml:space="preserve"> IFERROR( INDEX($D$6:$D$57, MATCH(TRUE, EXACT($P14, $C$6:$C$57),0)), "")</f>
        <v/>
      </c>
      <c r="R14" s="353" t="str" cm="1">
        <f t="array" ref="R14" xml:space="preserve"> IFERROR( INDEX($E$6:$E$57, MATCH(TRUE, EXACT($P14, $C$6:$C$57),0)), "")</f>
        <v/>
      </c>
      <c r="U14" s="375" t="s">
        <v>833</v>
      </c>
      <c r="X14" s="377" t="e">
        <f xml:space="preserve"> "- 'xlit|" &amp; U15 &amp; "|" &amp; U16 &amp; "|'"</f>
        <v>#REF!</v>
      </c>
    </row>
    <row r="15" spans="2:29">
      <c r="B15" s="366">
        <f t="shared" si="0"/>
        <v>10</v>
      </c>
      <c r="C15" s="141" t="s">
        <v>44</v>
      </c>
      <c r="D15" s="153" t="s">
        <v>45</v>
      </c>
      <c r="E15" s="90" t="s">
        <v>45</v>
      </c>
      <c r="F15" s="91" t="s">
        <v>26</v>
      </c>
      <c r="H15" s="256">
        <f t="shared" si="1"/>
        <v>10</v>
      </c>
      <c r="I15" s="91" t="s">
        <v>141</v>
      </c>
      <c r="J15" s="141" t="s">
        <v>41</v>
      </c>
      <c r="K15" s="100" t="str" cm="1">
        <f t="array" ref="K15" xml:space="preserve"> IFERROR( INDEX($D$6:$D$57, MATCH(TRUE, EXACT($J15, $C$6:$C$57),0)), "")</f>
        <v>k</v>
      </c>
      <c r="L15" s="354" t="str" cm="1">
        <f t="array" ref="L15" xml:space="preserve"> IFERROR( INDEX($E$6:$E$57, MATCH(TRUE, EXACT($J15, $C$6:$C$57),0)), "")</f>
        <v>k</v>
      </c>
      <c r="N15" s="256">
        <f t="shared" si="2"/>
        <v>10</v>
      </c>
      <c r="O15" s="91" t="s">
        <v>649</v>
      </c>
      <c r="P15" s="141" t="str">
        <f>C15</f>
        <v>ㆣ</v>
      </c>
      <c r="Q15" s="100" t="str" cm="1">
        <f t="array" ref="Q15" xml:space="preserve"> IFERROR( INDEX($D$6:$D$57, MATCH(TRUE, EXACT($P15, $C$6:$C$57),0)), "")</f>
        <v>g</v>
      </c>
      <c r="R15" s="354" t="str" cm="1">
        <f t="array" ref="R15" xml:space="preserve"> IFERROR( INDEX($E$6:$E$57, MATCH(TRUE, EXACT($P15, $C$6:$C$57),0)), "")</f>
        <v>g</v>
      </c>
      <c r="T15" s="384" t="e">
        <f xml:space="preserve"> LEN(U15)</f>
        <v>#REF!</v>
      </c>
      <c r="U15" s="373" t="e">
        <f xml:space="preserve"> _xlfn.CONCAT(#REF!)</f>
        <v>#REF!</v>
      </c>
    </row>
    <row r="16" spans="2:29">
      <c r="B16" s="366">
        <f t="shared" si="0"/>
        <v>11</v>
      </c>
      <c r="C16" s="141" t="s">
        <v>69</v>
      </c>
      <c r="D16" s="153" t="s">
        <v>70</v>
      </c>
      <c r="E16" s="90" t="s">
        <v>62</v>
      </c>
      <c r="F16" s="91" t="s">
        <v>163</v>
      </c>
      <c r="H16" s="256">
        <f t="shared" si="1"/>
        <v>11</v>
      </c>
      <c r="I16" s="91" t="s">
        <v>201</v>
      </c>
      <c r="J16" s="141" t="s">
        <v>69</v>
      </c>
      <c r="K16" s="100" t="str" cm="1">
        <f t="array" ref="K16" xml:space="preserve"> IFERROR( INDEX($D$6:$D$57, MATCH(TRUE, EXACT($J16, $C$6:$C$57),0)), "")</f>
        <v>kh</v>
      </c>
      <c r="L16" s="355" t="str" cm="1">
        <f t="array" ref="L16" xml:space="preserve"> IFERROR( INDEX($E$6:$E$57, MATCH(TRUE, EXACT($J16, $C$6:$C$57),0)), "")</f>
        <v>K</v>
      </c>
      <c r="N16" s="256">
        <f t="shared" si="2"/>
        <v>11</v>
      </c>
      <c r="O16" s="91" t="s">
        <v>258</v>
      </c>
      <c r="P16" s="141"/>
      <c r="Q16" s="100" t="str" cm="1">
        <f t="array" ref="Q16" xml:space="preserve"> IFERROR( INDEX($D$6:$D$57, MATCH(TRUE, EXACT($P16, $C$6:$C$57),0)), "")</f>
        <v/>
      </c>
      <c r="R16" s="355" t="str" cm="1">
        <f t="array" ref="R16" xml:space="preserve"> IFERROR( INDEX($E$6:$E$57, MATCH(TRUE, EXACT($P16, $C$6:$C$57),0)), "")</f>
        <v/>
      </c>
      <c r="T16" s="384" t="e">
        <f xml:space="preserve"> LEN(U16)</f>
        <v>#REF!</v>
      </c>
      <c r="U16" s="373" t="e">
        <f xml:space="preserve"> _xlfn.CONCAT(#REF!)</f>
        <v>#REF!</v>
      </c>
    </row>
    <row r="17" spans="2:18">
      <c r="B17" s="366">
        <f t="shared" si="0"/>
        <v>12</v>
      </c>
      <c r="C17" s="141" t="s">
        <v>72</v>
      </c>
      <c r="D17" s="153" t="s">
        <v>73</v>
      </c>
      <c r="E17" s="92" t="s">
        <v>170</v>
      </c>
      <c r="F17" s="91" t="s">
        <v>174</v>
      </c>
      <c r="H17" s="258">
        <f t="shared" si="1"/>
        <v>12</v>
      </c>
      <c r="I17" s="96" t="s">
        <v>205</v>
      </c>
      <c r="J17" s="143" t="s">
        <v>94</v>
      </c>
      <c r="K17" s="102" t="str" cm="1">
        <f t="array" ref="K17" xml:space="preserve"> IFERROR( INDEX($D$6:$D$57, MATCH(TRUE, EXACT($J17, $C$6:$C$57),0)), "")</f>
        <v>h</v>
      </c>
      <c r="L17" s="356" t="str" cm="1">
        <f t="array" ref="L17" xml:space="preserve"> IFERROR( INDEX($E$6:$E$57, MATCH(TRUE, EXACT($J17, $C$6:$C$57),0)), "")</f>
        <v>h</v>
      </c>
      <c r="N17" s="258">
        <f t="shared" si="2"/>
        <v>12</v>
      </c>
      <c r="O17" s="96" t="s">
        <v>228</v>
      </c>
      <c r="P17" s="143"/>
      <c r="Q17" s="102" t="str" cm="1">
        <f t="array" ref="Q17" xml:space="preserve"> IFERROR( INDEX($D$6:$D$57, MATCH(TRUE, EXACT($P17, $C$6:$C$57),0)), "")</f>
        <v/>
      </c>
      <c r="R17" s="356" t="str" cm="1">
        <f t="array" ref="R17" xml:space="preserve"> IFERROR( INDEX($E$6:$E$57, MATCH(TRUE, EXACT($P17, $C$6:$C$57),0)), "")</f>
        <v/>
      </c>
    </row>
    <row r="18" spans="2:18">
      <c r="B18" s="367">
        <f t="shared" si="0"/>
        <v>13</v>
      </c>
      <c r="C18" s="142" t="s">
        <v>46</v>
      </c>
      <c r="D18" s="267" t="s">
        <v>166</v>
      </c>
      <c r="E18" s="93" t="s">
        <v>204</v>
      </c>
      <c r="F18" s="94" t="s">
        <v>175</v>
      </c>
      <c r="H18" s="254">
        <f t="shared" si="1"/>
        <v>13</v>
      </c>
      <c r="I18" s="94">
        <v>4</v>
      </c>
      <c r="J18" s="142"/>
      <c r="K18" s="101" t="str" cm="1">
        <f t="array" ref="K18" xml:space="preserve"> IFERROR( INDEX($D$6:$D$57, MATCH(TRUE, EXACT($J18, $C$6:$C$57),0)), "")</f>
        <v/>
      </c>
      <c r="L18" s="353" t="str" cm="1">
        <f t="array" ref="L18" xml:space="preserve"> IFERROR( INDEX($E$6:$E$57, MATCH(TRUE, EXACT($J18, $C$6:$C$57),0)), "")</f>
        <v/>
      </c>
      <c r="N18" s="254">
        <f t="shared" si="2"/>
        <v>13</v>
      </c>
      <c r="O18" s="358" t="s">
        <v>818</v>
      </c>
      <c r="P18" s="142"/>
      <c r="Q18" s="101" t="str" cm="1">
        <f t="array" ref="Q18" xml:space="preserve"> IFERROR( INDEX($D$6:$D$57, MATCH(TRUE, EXACT($P18, $C$6:$C$57),0)), "")</f>
        <v/>
      </c>
      <c r="R18" s="353" t="str" cm="1">
        <f t="array" ref="R18" xml:space="preserve"> IFERROR( INDEX($E$6:$E$57, MATCH(TRUE, EXACT($P18, $C$6:$C$57),0)), "")</f>
        <v/>
      </c>
    </row>
    <row r="19" spans="2:18">
      <c r="B19" s="366">
        <f t="shared" si="0"/>
        <v>14</v>
      </c>
      <c r="C19" s="141" t="s">
        <v>106</v>
      </c>
      <c r="D19" s="153" t="s">
        <v>97</v>
      </c>
      <c r="E19" s="90" t="s">
        <v>97</v>
      </c>
      <c r="F19" s="91" t="s">
        <v>29</v>
      </c>
      <c r="H19" s="256">
        <f t="shared" si="1"/>
        <v>14</v>
      </c>
      <c r="I19" s="91" t="s">
        <v>668</v>
      </c>
      <c r="J19" s="141" t="s">
        <v>43</v>
      </c>
      <c r="K19" s="100" t="str" cm="1">
        <f t="array" ref="K19" xml:space="preserve"> IFERROR( INDEX($D$6:$D$57, MATCH(TRUE, EXACT($J19, $C$6:$C$57),0)), "")</f>
        <v>ci</v>
      </c>
      <c r="L19" s="354" t="str" cm="1">
        <f t="array" ref="L19" xml:space="preserve"> IFERROR( INDEX($E$6:$E$57, MATCH(TRUE, EXACT($J19, $C$6:$C$57),0)), "")</f>
        <v>Z</v>
      </c>
      <c r="N19" s="256">
        <f t="shared" si="2"/>
        <v>14</v>
      </c>
      <c r="O19" s="91" t="s">
        <v>652</v>
      </c>
      <c r="P19" s="141" t="s">
        <v>105</v>
      </c>
      <c r="Q19" s="100" t="str" cm="1">
        <f t="array" ref="Q19" xml:space="preserve"> IFERROR( INDEX($D$6:$D$57, MATCH(TRUE, EXACT($P19, $C$6:$C$57),0)), "")</f>
        <v>ji</v>
      </c>
      <c r="R19" s="354" t="str" cm="1">
        <f t="array" ref="R19" xml:space="preserve"> IFERROR( INDEX($E$6:$E$57, MATCH(TRUE, EXACT($P19, $C$6:$C$57),0)), "")</f>
        <v>J</v>
      </c>
    </row>
    <row r="20" spans="2:18">
      <c r="B20" s="366">
        <f t="shared" si="0"/>
        <v>15</v>
      </c>
      <c r="C20" s="141" t="s">
        <v>74</v>
      </c>
      <c r="D20" s="153" t="s">
        <v>708</v>
      </c>
      <c r="E20" s="90" t="s">
        <v>205</v>
      </c>
      <c r="F20" s="91" t="s">
        <v>95</v>
      </c>
      <c r="H20" s="256">
        <f t="shared" si="1"/>
        <v>15</v>
      </c>
      <c r="I20" s="91" t="s">
        <v>670</v>
      </c>
      <c r="J20" s="141" t="s">
        <v>71</v>
      </c>
      <c r="K20" s="100" t="str" cm="1">
        <f t="array" ref="K20" xml:space="preserve"> IFERROR( INDEX($D$6:$D$57, MATCH(TRUE, EXACT($J20, $C$6:$C$57),0)), "")</f>
        <v>chi</v>
      </c>
      <c r="L20" s="355" t="str" cm="1">
        <f t="array" ref="L20" xml:space="preserve"> IFERROR( INDEX($E$6:$E$57, MATCH(TRUE, EXACT($J20, $C$6:$C$57),0)), "")</f>
        <v>C</v>
      </c>
      <c r="N20" s="256">
        <f t="shared" si="2"/>
        <v>15</v>
      </c>
      <c r="O20" s="91" t="s">
        <v>655</v>
      </c>
      <c r="P20" s="141"/>
      <c r="Q20" s="100" t="str" cm="1">
        <f t="array" ref="Q20" xml:space="preserve"> IFERROR( INDEX($D$6:$D$57, MATCH(TRUE, EXACT($P20, $C$6:$C$57),0)), "")</f>
        <v/>
      </c>
      <c r="R20" s="355" t="str" cm="1">
        <f t="array" ref="R20" xml:space="preserve"> IFERROR( INDEX($E$6:$E$57, MATCH(TRUE, EXACT($P20, $C$6:$C$57),0)), "")</f>
        <v/>
      </c>
    </row>
    <row r="21" spans="2:18">
      <c r="B21" s="368">
        <f t="shared" si="0"/>
        <v>16</v>
      </c>
      <c r="C21" s="143" t="s">
        <v>98</v>
      </c>
      <c r="D21" s="268" t="s">
        <v>99</v>
      </c>
      <c r="E21" s="95" t="s">
        <v>136</v>
      </c>
      <c r="F21" s="96" t="s">
        <v>68</v>
      </c>
      <c r="H21" s="258">
        <f t="shared" si="1"/>
        <v>16</v>
      </c>
      <c r="I21" s="96" t="s">
        <v>252</v>
      </c>
      <c r="J21" s="143" t="s">
        <v>96</v>
      </c>
      <c r="K21" s="102" t="str" cm="1">
        <f t="array" ref="K21" xml:space="preserve"> IFERROR( INDEX($D$6:$D$57, MATCH(TRUE, EXACT($J21, $C$6:$C$57),0)), "")</f>
        <v>si</v>
      </c>
      <c r="L21" s="356" t="str" cm="1">
        <f t="array" ref="L21" xml:space="preserve"> IFERROR( INDEX($E$6:$E$57, MATCH(TRUE, EXACT($J21, $C$6:$C$57),0)), "")</f>
        <v>S</v>
      </c>
      <c r="N21" s="258">
        <f t="shared" si="2"/>
        <v>16</v>
      </c>
      <c r="O21" s="96" t="s">
        <v>653</v>
      </c>
      <c r="P21" s="143"/>
      <c r="Q21" s="102" t="str" cm="1">
        <f t="array" ref="Q21" xml:space="preserve"> IFERROR( INDEX($D$6:$D$57, MATCH(TRUE, EXACT($P21, $C$6:$C$57),0)), "")</f>
        <v/>
      </c>
      <c r="R21" s="356" t="str" cm="1">
        <f t="array" ref="R21" xml:space="preserve"> IFERROR( INDEX($E$6:$E$57, MATCH(TRUE, EXACT($P21, $C$6:$C$57),0)), "")</f>
        <v/>
      </c>
    </row>
    <row r="22" spans="2:18">
      <c r="B22" s="369">
        <f t="shared" si="0"/>
        <v>17</v>
      </c>
      <c r="C22" s="142" t="s">
        <v>43</v>
      </c>
      <c r="D22" s="267" t="s">
        <v>842</v>
      </c>
      <c r="E22" s="93" t="s">
        <v>206</v>
      </c>
      <c r="F22" s="255" t="s">
        <v>668</v>
      </c>
      <c r="H22" s="254">
        <f t="shared" si="1"/>
        <v>17</v>
      </c>
      <c r="I22" s="94">
        <v>5</v>
      </c>
      <c r="J22" s="142"/>
      <c r="K22" s="101" t="str" cm="1">
        <f t="array" ref="K22" xml:space="preserve"> IFERROR( INDEX($D$6:$D$57, MATCH(TRUE, EXACT($J22, $C$6:$C$57),0)), "")</f>
        <v/>
      </c>
      <c r="L22" s="353" t="str" cm="1">
        <f t="array" ref="L22" xml:space="preserve"> IFERROR( INDEX($E$6:$E$57, MATCH(TRUE, EXACT($J22, $C$6:$C$57),0)), "")</f>
        <v/>
      </c>
      <c r="N22" s="254">
        <f t="shared" si="2"/>
        <v>17</v>
      </c>
      <c r="O22" s="358" t="s">
        <v>819</v>
      </c>
      <c r="P22" s="142"/>
      <c r="Q22" s="101" t="str" cm="1">
        <f t="array" ref="Q22" xml:space="preserve"> IFERROR( INDEX($D$6:$D$57, MATCH(TRUE, EXACT($P22, $C$6:$C$57),0)), "")</f>
        <v/>
      </c>
      <c r="R22" s="353" t="str" cm="1">
        <f t="array" ref="R22" xml:space="preserve"> IFERROR( INDEX($E$6:$E$57, MATCH(TRUE, EXACT($P22, $C$6:$C$57),0)), "")</f>
        <v/>
      </c>
    </row>
    <row r="23" spans="2:18">
      <c r="B23" s="370">
        <f t="shared" si="0"/>
        <v>18</v>
      </c>
      <c r="C23" s="141" t="s">
        <v>105</v>
      </c>
      <c r="D23" s="153" t="s">
        <v>131</v>
      </c>
      <c r="E23" s="90" t="s">
        <v>645</v>
      </c>
      <c r="F23" s="257" t="s">
        <v>652</v>
      </c>
      <c r="H23" s="256">
        <f t="shared" si="1"/>
        <v>18</v>
      </c>
      <c r="I23" s="91" t="s">
        <v>192</v>
      </c>
      <c r="J23" s="141" t="s">
        <v>807</v>
      </c>
      <c r="K23" s="100" t="str" cm="1">
        <f t="array" ref="K23" xml:space="preserve"> IFERROR( INDEX($D$6:$D$57, MATCH(TRUE, EXACT($J23, $C$6:$C$57),0)), "")</f>
        <v/>
      </c>
      <c r="L23" s="354" t="str" cm="1">
        <f t="array" ref="L23" xml:space="preserve"> IFERROR( INDEX($E$6:$E$57, MATCH(TRUE, EXACT($J23, $C$6:$C$57),0)), "")</f>
        <v/>
      </c>
      <c r="N23" s="256">
        <f t="shared" si="2"/>
        <v>18</v>
      </c>
      <c r="O23" s="91" t="s">
        <v>241</v>
      </c>
      <c r="P23" s="141"/>
      <c r="Q23" s="100" t="str" cm="1">
        <f t="array" ref="Q23" xml:space="preserve"> IFERROR( INDEX($D$6:$D$57, MATCH(TRUE, EXACT($P23, $C$6:$C$57),0)), "")</f>
        <v/>
      </c>
      <c r="R23" s="354" t="str" cm="1">
        <f t="array" ref="R23" xml:space="preserve"> IFERROR( INDEX($E$6:$E$57, MATCH(TRUE, EXACT($P23, $C$6:$C$57),0)), "")</f>
        <v/>
      </c>
    </row>
    <row r="24" spans="2:18">
      <c r="B24" s="370">
        <f t="shared" si="0"/>
        <v>19</v>
      </c>
      <c r="C24" s="141" t="s">
        <v>71</v>
      </c>
      <c r="D24" s="153" t="s">
        <v>843</v>
      </c>
      <c r="E24" s="90" t="s">
        <v>228</v>
      </c>
      <c r="F24" s="257" t="s">
        <v>670</v>
      </c>
      <c r="H24" s="256">
        <f t="shared" si="1"/>
        <v>19</v>
      </c>
      <c r="I24" s="91" t="s">
        <v>126</v>
      </c>
      <c r="J24" s="141" t="s">
        <v>72</v>
      </c>
      <c r="K24" s="104" t="str" cm="1">
        <f t="array" ref="K24" xml:space="preserve"> IFERROR( INDEX($D$6:$D$57, MATCH(TRUE, EXACT($J24, $C$6:$C$57),0)), "")</f>
        <v>ng</v>
      </c>
      <c r="L24" s="355" t="str" cm="1">
        <f t="array" ref="L24" xml:space="preserve"> IFERROR( INDEX($E$6:$E$57, MATCH(TRUE, EXACT($J24, $C$6:$C$57),0)), "")</f>
        <v>w</v>
      </c>
      <c r="N24" s="256">
        <f t="shared" si="2"/>
        <v>19</v>
      </c>
      <c r="O24" s="91" t="s">
        <v>202</v>
      </c>
      <c r="P24" s="141"/>
      <c r="Q24" s="100" t="str" cm="1">
        <f t="array" ref="Q24" xml:space="preserve"> IFERROR( INDEX($D$6:$D$57, MATCH(TRUE, EXACT($P24, $C$6:$C$57),0)), "")</f>
        <v/>
      </c>
      <c r="R24" s="355" t="str" cm="1">
        <f t="array" ref="R24" xml:space="preserve"> IFERROR( INDEX($E$6:$E$57, MATCH(TRUE, EXACT($P24, $C$6:$C$57),0)), "")</f>
        <v/>
      </c>
    </row>
    <row r="25" spans="2:18">
      <c r="B25" s="370">
        <f t="shared" si="0"/>
        <v>20</v>
      </c>
      <c r="C25" s="141" t="s">
        <v>96</v>
      </c>
      <c r="D25" s="153" t="s">
        <v>133</v>
      </c>
      <c r="E25" s="90" t="s">
        <v>654</v>
      </c>
      <c r="F25" s="257" t="s">
        <v>252</v>
      </c>
      <c r="H25" s="258">
        <f t="shared" si="1"/>
        <v>20</v>
      </c>
      <c r="I25" s="96" t="s">
        <v>162</v>
      </c>
      <c r="J25" s="143" t="s">
        <v>807</v>
      </c>
      <c r="K25" s="102" t="str" cm="1">
        <f t="array" ref="K25" xml:space="preserve"> IFERROR( INDEX($D$6:$D$57, MATCH(TRUE, EXACT($J25, $C$6:$C$57),0)), "")</f>
        <v/>
      </c>
      <c r="L25" s="356" t="str" cm="1">
        <f t="array" ref="L25" xml:space="preserve"> IFERROR( INDEX($E$6:$E$57, MATCH(TRUE, EXACT($J25, $C$6:$C$57),0)), "")</f>
        <v/>
      </c>
      <c r="N25" s="258">
        <f t="shared" si="2"/>
        <v>20</v>
      </c>
      <c r="O25" s="96" t="s">
        <v>200</v>
      </c>
      <c r="P25" s="143"/>
      <c r="Q25" s="102" t="str" cm="1">
        <f t="array" ref="Q25" xml:space="preserve"> IFERROR( INDEX($D$6:$D$57, MATCH(TRUE, EXACT($P25, $C$6:$C$57),0)), "")</f>
        <v/>
      </c>
      <c r="R25" s="356" t="str" cm="1">
        <f t="array" ref="R25" xml:space="preserve"> IFERROR( INDEX($E$6:$E$57, MATCH(TRUE, EXACT($P25, $C$6:$C$57),0)), "")</f>
        <v/>
      </c>
    </row>
    <row r="26" spans="2:18">
      <c r="B26" s="369">
        <f t="shared" si="0"/>
        <v>21</v>
      </c>
      <c r="C26" s="142" t="s">
        <v>94</v>
      </c>
      <c r="D26" s="267" t="s">
        <v>95</v>
      </c>
      <c r="E26" s="93" t="s">
        <v>95</v>
      </c>
      <c r="F26" s="255" t="s">
        <v>166</v>
      </c>
      <c r="H26" s="254">
        <f>H25+1</f>
        <v>21</v>
      </c>
      <c r="I26" s="94">
        <v>6</v>
      </c>
      <c r="J26" s="142"/>
      <c r="K26" s="101" t="str" cm="1">
        <f t="array" ref="K26" xml:space="preserve"> IFERROR( INDEX($D$6:$D$57, MATCH(TRUE, EXACT($J26, $C$6:$C$57),0)), "")</f>
        <v/>
      </c>
      <c r="L26" s="353" t="str" cm="1">
        <f t="array" ref="L26" xml:space="preserve"> IFERROR( INDEX($E$6:$E$57, MATCH(TRUE, EXACT($J26, $C$6:$C$57),0)), "")</f>
        <v/>
      </c>
      <c r="N26" s="254">
        <f>N25+1</f>
        <v>21</v>
      </c>
      <c r="O26" s="358" t="s">
        <v>820</v>
      </c>
      <c r="P26" s="142"/>
      <c r="Q26" s="101" t="str" cm="1">
        <f t="array" ref="Q26" xml:space="preserve"> IFERROR( INDEX($D$6:$D$57, MATCH(TRUE, EXACT($P26, $C$6:$C$57),0)), "")</f>
        <v/>
      </c>
      <c r="R26" s="353" t="str" cm="1">
        <f t="array" ref="R26" xml:space="preserve"> IFERROR( INDEX($E$6:$E$57, MATCH(TRUE, EXACT($P26, $C$6:$C$57),0)), "")</f>
        <v/>
      </c>
    </row>
    <row r="27" spans="2:18">
      <c r="B27" s="369">
        <f t="shared" si="0"/>
        <v>22</v>
      </c>
      <c r="C27" s="142" t="s">
        <v>48</v>
      </c>
      <c r="D27" s="267" t="s">
        <v>49</v>
      </c>
      <c r="E27" s="93" t="s">
        <v>49</v>
      </c>
      <c r="F27" s="255" t="s">
        <v>77</v>
      </c>
      <c r="H27" s="256">
        <f t="shared" si="1"/>
        <v>22</v>
      </c>
      <c r="I27" s="91" t="s">
        <v>208</v>
      </c>
      <c r="J27" s="141" t="s">
        <v>46</v>
      </c>
      <c r="K27" s="100" t="str" cm="1">
        <f t="array" ref="K27" xml:space="preserve"> IFERROR( INDEX($D$6:$D$57, MATCH(TRUE, EXACT($J27, $C$6:$C$57),0)), "")</f>
        <v>c</v>
      </c>
      <c r="L27" s="354" t="str" cm="1">
        <f t="array" ref="L27" xml:space="preserve"> IFERROR( INDEX($E$6:$E$57, MATCH(TRUE, EXACT($J27, $C$6:$C$57),0)), "")</f>
        <v>z</v>
      </c>
      <c r="N27" s="256">
        <f t="shared" si="2"/>
        <v>22</v>
      </c>
      <c r="O27" s="91" t="s">
        <v>209</v>
      </c>
      <c r="P27" s="141" t="str">
        <f>C19</f>
        <v>ㆡ</v>
      </c>
      <c r="Q27" s="100" t="str" cm="1">
        <f t="array" ref="Q27" xml:space="preserve"> IFERROR( INDEX($D$6:$D$57, MATCH(TRUE, EXACT($P27, $C$6:$C$57),0)), "")</f>
        <v>j</v>
      </c>
      <c r="R27" s="354" t="str" cm="1">
        <f t="array" ref="R27" xml:space="preserve"> IFERROR( INDEX($E$6:$E$57, MATCH(TRUE, EXACT($P27, $C$6:$C$57),0)), "")</f>
        <v>j</v>
      </c>
    </row>
    <row r="28" spans="2:18">
      <c r="B28" s="370">
        <f t="shared" si="0"/>
        <v>23</v>
      </c>
      <c r="C28" s="141" t="s">
        <v>116</v>
      </c>
      <c r="D28" s="153" t="s">
        <v>941</v>
      </c>
      <c r="E28" s="90" t="s">
        <v>518</v>
      </c>
      <c r="F28" s="257" t="s">
        <v>30</v>
      </c>
      <c r="H28" s="256">
        <f t="shared" si="1"/>
        <v>23</v>
      </c>
      <c r="I28" s="91" t="s">
        <v>129</v>
      </c>
      <c r="J28" s="141" t="s">
        <v>74</v>
      </c>
      <c r="K28" s="100" t="str" cm="1">
        <f t="array" ref="K28" xml:space="preserve"> IFERROR( INDEX($D$6:$D$57, MATCH(TRUE, EXACT($J28, $C$6:$C$57),0)), "")</f>
        <v>ch</v>
      </c>
      <c r="L28" s="355" t="str" cm="1">
        <f t="array" ref="L28" xml:space="preserve"> IFERROR( INDEX($E$6:$E$57, MATCH(TRUE, EXACT($J28, $C$6:$C$57),0)), "")</f>
        <v>c</v>
      </c>
      <c r="N28" s="256">
        <f t="shared" si="2"/>
        <v>23</v>
      </c>
      <c r="O28" s="91" t="s">
        <v>666</v>
      </c>
      <c r="P28" s="141"/>
      <c r="Q28" s="100" t="str" cm="1">
        <f t="array" ref="Q28" xml:space="preserve"> IFERROR( INDEX($D$6:$D$57, MATCH(TRUE, EXACT($P28, $C$6:$C$57),0)), "")</f>
        <v/>
      </c>
      <c r="R28" s="355" t="str" cm="1">
        <f t="array" ref="R28" xml:space="preserve"> IFERROR( INDEX($E$6:$E$57, MATCH(TRUE, EXACT($P28, $C$6:$C$57),0)), "")</f>
        <v/>
      </c>
    </row>
    <row r="29" spans="2:18">
      <c r="B29" s="370">
        <f t="shared" si="0"/>
        <v>24</v>
      </c>
      <c r="C29" s="141" t="s">
        <v>76</v>
      </c>
      <c r="D29" s="153" t="s">
        <v>77</v>
      </c>
      <c r="E29" s="90" t="s">
        <v>77</v>
      </c>
      <c r="F29" s="257" t="s">
        <v>97</v>
      </c>
      <c r="H29" s="258">
        <f t="shared" si="1"/>
        <v>24</v>
      </c>
      <c r="I29" s="96" t="s">
        <v>193</v>
      </c>
      <c r="J29" s="143" t="s">
        <v>98</v>
      </c>
      <c r="K29" s="102" t="str" cm="1">
        <f t="array" ref="K29" xml:space="preserve"> IFERROR( INDEX($D$6:$D$57, MATCH(TRUE, EXACT($J29, $C$6:$C$57),0)), "")</f>
        <v>s</v>
      </c>
      <c r="L29" s="356" t="str" cm="1">
        <f t="array" ref="L29" xml:space="preserve"> IFERROR( INDEX($E$6:$E$57, MATCH(TRUE, EXACT($J29, $C$6:$C$57),0)), "")</f>
        <v>s</v>
      </c>
      <c r="N29" s="258">
        <f t="shared" si="2"/>
        <v>24</v>
      </c>
      <c r="O29" s="96" t="s">
        <v>595</v>
      </c>
      <c r="P29" s="143"/>
      <c r="Q29" s="102" t="str" cm="1">
        <f t="array" ref="Q29" xml:space="preserve"> IFERROR( INDEX($D$6:$D$57, MATCH(TRUE, EXACT($P29, $C$6:$C$57),0)), "")</f>
        <v/>
      </c>
      <c r="R29" s="356" t="str" cm="1">
        <f t="array" ref="R29" xml:space="preserve"> IFERROR( INDEX($E$6:$E$57, MATCH(TRUE, EXACT($P29, $C$6:$C$57),0)), "")</f>
        <v/>
      </c>
    </row>
    <row r="30" spans="2:18">
      <c r="B30" s="370">
        <f t="shared" si="0"/>
        <v>25</v>
      </c>
      <c r="C30" s="141" t="s">
        <v>117</v>
      </c>
      <c r="D30" s="153" t="s">
        <v>942</v>
      </c>
      <c r="E30" s="90" t="s">
        <v>519</v>
      </c>
      <c r="F30" s="257" t="s">
        <v>61</v>
      </c>
      <c r="H30" s="254">
        <f t="shared" si="1"/>
        <v>25</v>
      </c>
      <c r="I30" s="94">
        <v>7</v>
      </c>
      <c r="J30" s="142"/>
      <c r="K30" s="101" t="str" cm="1">
        <f t="array" ref="K30" xml:space="preserve"> IFERROR( INDEX($D$6:$D$57, MATCH(TRUE, EXACT($J30, $C$6:$C$57),0)), "")</f>
        <v/>
      </c>
      <c r="L30" s="353" t="str" cm="1">
        <f t="array" ref="L30" xml:space="preserve"> IFERROR( INDEX($E$6:$E$57, MATCH(TRUE, EXACT($J30, $C$6:$C$57),0)), "")</f>
        <v/>
      </c>
      <c r="N30" s="254">
        <f t="shared" si="2"/>
        <v>25</v>
      </c>
      <c r="O30" s="358" t="s">
        <v>821</v>
      </c>
      <c r="P30" s="142"/>
      <c r="Q30" s="101" t="str" cm="1">
        <f t="array" ref="Q30" xml:space="preserve"> IFERROR( INDEX($D$6:$D$57, MATCH(TRUE, EXACT($P30, $C$6:$C$57),0)), "")</f>
        <v/>
      </c>
      <c r="R30" s="353" t="str" cm="1">
        <f t="array" ref="R30" xml:space="preserve"> IFERROR( INDEX($E$6:$E$57, MATCH(TRUE, EXACT($P30, $C$6:$C$57),0)), "")</f>
        <v/>
      </c>
    </row>
    <row r="31" spans="2:18">
      <c r="B31" s="369">
        <f t="shared" si="0"/>
        <v>26</v>
      </c>
      <c r="C31" s="142" t="s">
        <v>20</v>
      </c>
      <c r="D31" s="267" t="s">
        <v>21</v>
      </c>
      <c r="E31" s="93" t="s">
        <v>21</v>
      </c>
      <c r="F31" s="255">
        <v>8</v>
      </c>
      <c r="H31" s="256">
        <f t="shared" si="1"/>
        <v>26</v>
      </c>
      <c r="I31" s="91" t="s">
        <v>156</v>
      </c>
      <c r="J31" s="141" t="s">
        <v>48</v>
      </c>
      <c r="K31" s="100" t="str" cm="1">
        <f t="array" ref="K31" xml:space="preserve"> IFERROR( INDEX($D$6:$D$57, MATCH(TRUE, EXACT($J31, $C$6:$C$57),0)), "")</f>
        <v>i</v>
      </c>
      <c r="L31" s="354" t="str" cm="1">
        <f t="array" ref="L31" xml:space="preserve"> IFERROR( INDEX($E$6:$E$57, MATCH(TRUE, EXACT($J31, $C$6:$C$57),0)), "")</f>
        <v>i</v>
      </c>
      <c r="N31" s="256">
        <f t="shared" si="2"/>
        <v>26</v>
      </c>
      <c r="O31" s="91" t="s">
        <v>519</v>
      </c>
      <c r="P31" s="141" t="str">
        <f>C28</f>
        <v>ㆪ</v>
      </c>
      <c r="Q31" s="100" t="str" cm="1">
        <f t="array" ref="Q31" xml:space="preserve"> IFERROR( INDEX($D$6:$D$57, MATCH(TRUE, EXACT($P31, $C$6:$C$57),0)), "")</f>
        <v>iN</v>
      </c>
      <c r="R31" s="354" t="str" cm="1">
        <f t="array" ref="R31" xml:space="preserve"> IFERROR( INDEX($E$6:$E$57, MATCH(TRUE, EXACT($P31, $C$6:$C$57),0)), "")</f>
        <v>I</v>
      </c>
    </row>
    <row r="32" spans="2:18">
      <c r="B32" s="370">
        <f t="shared" si="0"/>
        <v>27</v>
      </c>
      <c r="C32" s="141" t="s">
        <v>107</v>
      </c>
      <c r="D32" s="153" t="s">
        <v>933</v>
      </c>
      <c r="E32" s="90" t="s">
        <v>210</v>
      </c>
      <c r="F32" s="257" t="s">
        <v>177</v>
      </c>
      <c r="H32" s="256">
        <f t="shared" si="1"/>
        <v>27</v>
      </c>
      <c r="I32" s="91" t="s">
        <v>134</v>
      </c>
      <c r="J32" s="141" t="s">
        <v>76</v>
      </c>
      <c r="K32" s="100" t="str" cm="1">
        <f t="array" ref="K32" xml:space="preserve"> IFERROR( INDEX($D$6:$D$57, MATCH(TRUE, EXACT($J32, $C$6:$C$57),0)), "")</f>
        <v>u</v>
      </c>
      <c r="L32" s="355" t="str" cm="1">
        <f t="array" ref="L32" xml:space="preserve"> IFERROR( INDEX($E$6:$E$57, MATCH(TRUE, EXACT($J32, $C$6:$C$57),0)), "")</f>
        <v>u</v>
      </c>
      <c r="N32" s="256">
        <f t="shared" si="2"/>
        <v>27</v>
      </c>
      <c r="O32" s="91" t="s">
        <v>645</v>
      </c>
      <c r="P32" s="141" t="str">
        <f>C30</f>
        <v>ㆫ</v>
      </c>
      <c r="Q32" s="100" t="str" cm="1">
        <f t="array" ref="Q32" xml:space="preserve"> IFERROR( INDEX($D$6:$D$57, MATCH(TRUE, EXACT($P32, $C$6:$C$57),0)), "")</f>
        <v>uN</v>
      </c>
      <c r="R32" s="355" t="str" cm="1">
        <f t="array" ref="R32" xml:space="preserve"> IFERROR( INDEX($E$6:$E$57, MATCH(TRUE, EXACT($P32, $C$6:$C$57),0)), "")</f>
        <v>U</v>
      </c>
    </row>
    <row r="33" spans="2:18">
      <c r="B33" s="370">
        <f t="shared" si="0"/>
        <v>28</v>
      </c>
      <c r="C33" s="141" t="s">
        <v>50</v>
      </c>
      <c r="D33" s="153" t="s">
        <v>51</v>
      </c>
      <c r="E33" s="90" t="s">
        <v>32</v>
      </c>
      <c r="F33" s="257" t="s">
        <v>49</v>
      </c>
      <c r="H33" s="258">
        <f t="shared" si="1"/>
        <v>28</v>
      </c>
      <c r="I33" s="96" t="s">
        <v>124</v>
      </c>
      <c r="J33" s="143" t="s">
        <v>100</v>
      </c>
      <c r="K33" s="102" t="str" cm="1">
        <f t="array" ref="K33" xml:space="preserve"> IFERROR( INDEX($D$6:$D$57, MATCH(TRUE, EXACT($J33, $C$6:$C$57),0)), "")</f>
        <v>-m</v>
      </c>
      <c r="L33" s="356" t="str" cm="1">
        <f t="array" ref="L33" xml:space="preserve"> IFERROR( INDEX($E$6:$E$57, MATCH(TRUE, EXACT($J33, $C$6:$C$57),0)), "")</f>
        <v>M</v>
      </c>
      <c r="N33" s="258">
        <f t="shared" si="2"/>
        <v>28</v>
      </c>
      <c r="O33" s="96" t="s">
        <v>624</v>
      </c>
      <c r="P33" s="143"/>
      <c r="Q33" s="102" t="str" cm="1">
        <f t="array" ref="Q33" xml:space="preserve"> IFERROR( INDEX($D$6:$D$57, MATCH(TRUE, EXACT($P33, $C$6:$C$57),0)), "")</f>
        <v/>
      </c>
      <c r="R33" s="356" t="str" cm="1">
        <f t="array" ref="R33" xml:space="preserve"> IFERROR( INDEX($E$6:$E$57, MATCH(TRUE, EXACT($P33, $C$6:$C$57),0)), "")</f>
        <v/>
      </c>
    </row>
    <row r="34" spans="2:18">
      <c r="B34" s="370">
        <f t="shared" si="0"/>
        <v>29</v>
      </c>
      <c r="C34" s="141" t="s">
        <v>108</v>
      </c>
      <c r="D34" s="153" t="s">
        <v>934</v>
      </c>
      <c r="E34" s="90" t="s">
        <v>628</v>
      </c>
      <c r="F34" s="257" t="s">
        <v>31</v>
      </c>
      <c r="H34" s="254">
        <f t="shared" si="1"/>
        <v>29</v>
      </c>
      <c r="I34" s="94">
        <v>8</v>
      </c>
      <c r="J34" s="142" t="s">
        <v>20</v>
      </c>
      <c r="K34" s="101" t="str" cm="1">
        <f t="array" ref="K34" xml:space="preserve"> IFERROR( INDEX($D$6:$D$57, MATCH(TRUE, EXACT($J34, $C$6:$C$57),0)), "")</f>
        <v>a</v>
      </c>
      <c r="L34" s="353" t="str" cm="1">
        <f t="array" ref="L34" xml:space="preserve"> IFERROR( INDEX($E$6:$E$57, MATCH(TRUE, EXACT($J34, $C$6:$C$57),0)), "")</f>
        <v>a</v>
      </c>
      <c r="N34" s="254">
        <f t="shared" si="2"/>
        <v>29</v>
      </c>
      <c r="O34" s="358" t="s">
        <v>646</v>
      </c>
      <c r="P34" s="142" t="str">
        <f>C32</f>
        <v>ㆩ</v>
      </c>
      <c r="Q34" s="101" t="str" cm="1">
        <f t="array" ref="Q34" xml:space="preserve"> IFERROR( INDEX($D$6:$D$57, MATCH(TRUE, EXACT($P34, $C$6:$C$57),0)), "")</f>
        <v>aN</v>
      </c>
      <c r="R34" s="353" t="str" cm="1">
        <f t="array" ref="R34" xml:space="preserve"> IFERROR( INDEX($E$6:$E$57, MATCH(TRUE, EXACT($P34, $C$6:$C$57),0)), "")</f>
        <v>A</v>
      </c>
    </row>
    <row r="35" spans="2:18">
      <c r="B35" s="370">
        <f t="shared" si="0"/>
        <v>30</v>
      </c>
      <c r="C35" s="141" t="s">
        <v>109</v>
      </c>
      <c r="D35" s="153" t="s">
        <v>79</v>
      </c>
      <c r="E35" s="90" t="s">
        <v>79</v>
      </c>
      <c r="F35" s="257" t="s">
        <v>42</v>
      </c>
      <c r="H35" s="256">
        <f t="shared" si="1"/>
        <v>30</v>
      </c>
      <c r="I35" s="91" t="s">
        <v>154</v>
      </c>
      <c r="J35" s="141" t="s">
        <v>50</v>
      </c>
      <c r="K35" s="100" t="str" cm="1">
        <f t="array" ref="K35" xml:space="preserve"> IFERROR( INDEX($D$6:$D$57, MATCH(TRUE, EXACT($J35, $C$6:$C$57),0)), "")</f>
        <v>oo</v>
      </c>
      <c r="L35" s="354" t="str" cm="1">
        <f t="array" ref="L35" xml:space="preserve"> IFERROR( INDEX($E$6:$E$57, MATCH(TRUE, EXACT($J35, $C$6:$C$57),0)), "")</f>
        <v>O</v>
      </c>
      <c r="N35" s="256">
        <f t="shared" si="2"/>
        <v>30</v>
      </c>
      <c r="O35" s="91" t="s">
        <v>518</v>
      </c>
      <c r="P35" s="141" t="str">
        <f>C34</f>
        <v>ㆧ</v>
      </c>
      <c r="Q35" s="100" t="str" cm="1">
        <f t="array" ref="Q35" xml:space="preserve"> IFERROR( INDEX($D$6:$D$57, MATCH(TRUE, EXACT($P35, $C$6:$C$57),0)), "")</f>
        <v>ooN</v>
      </c>
      <c r="R35" s="354" t="str" cm="1">
        <f t="array" ref="R35" xml:space="preserve"> IFERROR( INDEX($E$6:$E$57, MATCH(TRUE, EXACT($P35, $C$6:$C$57),0)), "")</f>
        <v>Q</v>
      </c>
    </row>
    <row r="36" spans="2:18">
      <c r="B36" s="370">
        <f t="shared" si="0"/>
        <v>31</v>
      </c>
      <c r="C36" s="141" t="s">
        <v>52</v>
      </c>
      <c r="D36" s="153" t="s">
        <v>53</v>
      </c>
      <c r="E36" s="90" t="s">
        <v>53</v>
      </c>
      <c r="F36" s="257" t="s">
        <v>180</v>
      </c>
      <c r="H36" s="256">
        <f t="shared" si="1"/>
        <v>31</v>
      </c>
      <c r="I36" s="91" t="s">
        <v>195</v>
      </c>
      <c r="J36" s="141" t="s">
        <v>78</v>
      </c>
      <c r="K36" s="100" t="str" cm="1">
        <f t="array" ref="K36" xml:space="preserve"> IFERROR( INDEX($D$6:$D$57, MATCH(TRUE, EXACT($J36, $C$6:$C$57),0)), "")</f>
        <v>o</v>
      </c>
      <c r="L36" s="355" t="str" cm="1">
        <f t="array" ref="L36" xml:space="preserve"> IFERROR( INDEX($E$6:$E$57, MATCH(TRUE, EXACT($J36, $C$6:$C$57),0)), "")</f>
        <v>o</v>
      </c>
      <c r="N36" s="256">
        <f t="shared" si="2"/>
        <v>31</v>
      </c>
      <c r="O36" s="91" t="s">
        <v>242</v>
      </c>
      <c r="P36" s="141"/>
      <c r="Q36" s="100" t="str" cm="1">
        <f t="array" ref="Q36" xml:space="preserve"> IFERROR( INDEX($D$6:$D$57, MATCH(TRUE, EXACT($P36, $C$6:$C$57),0)), "")</f>
        <v/>
      </c>
      <c r="R36" s="355" t="str" cm="1">
        <f t="array" ref="R36" xml:space="preserve"> IFERROR( INDEX($E$6:$E$57, MATCH(TRUE, EXACT($P36, $C$6:$C$57),0)), "")</f>
        <v/>
      </c>
    </row>
    <row r="37" spans="2:18">
      <c r="B37" s="371">
        <f t="shared" si="0"/>
        <v>32</v>
      </c>
      <c r="C37" s="143" t="s">
        <v>110</v>
      </c>
      <c r="D37" s="268" t="s">
        <v>935</v>
      </c>
      <c r="E37" s="95" t="s">
        <v>26</v>
      </c>
      <c r="F37" s="259" t="s">
        <v>181</v>
      </c>
      <c r="H37" s="258">
        <f t="shared" si="1"/>
        <v>32</v>
      </c>
      <c r="I37" s="96" t="s">
        <v>256</v>
      </c>
      <c r="J37" s="143" t="s">
        <v>225</v>
      </c>
      <c r="K37" s="102" t="str" cm="1">
        <f t="array" ref="K37" xml:space="preserve"> IFERROR( INDEX($D$6:$D$57, MATCH(TRUE, EXACT($J37, $C$6:$C$57),0)), "")</f>
        <v/>
      </c>
      <c r="L37" s="356" t="str" cm="1">
        <f t="array" ref="L37" xml:space="preserve"> IFERROR( INDEX($E$6:$E$57, MATCH(TRUE, EXACT($J37, $C$6:$C$57),0)), "")</f>
        <v/>
      </c>
      <c r="N37" s="258">
        <f t="shared" si="2"/>
        <v>32</v>
      </c>
      <c r="O37" s="96" t="s">
        <v>648</v>
      </c>
      <c r="P37" s="143" t="str">
        <f>C37</f>
        <v>ㆥ</v>
      </c>
      <c r="Q37" s="102" t="str" cm="1">
        <f t="array" ref="Q37" xml:space="preserve"> IFERROR( INDEX($D$6:$D$57, MATCH(TRUE, EXACT($P37, $C$6:$C$57),0)), "")</f>
        <v>eN</v>
      </c>
      <c r="R37" s="356" t="str" cm="1">
        <f t="array" ref="R37" xml:space="preserve"> IFERROR( INDEX($E$6:$E$57, MATCH(TRUE, EXACT($P37, $C$6:$C$57),0)), "")</f>
        <v>E</v>
      </c>
    </row>
    <row r="38" spans="2:18">
      <c r="B38" s="370">
        <f t="shared" si="0"/>
        <v>33</v>
      </c>
      <c r="C38" s="141" t="s">
        <v>939</v>
      </c>
      <c r="D38" s="153" t="s">
        <v>940</v>
      </c>
      <c r="E38" s="90" t="s">
        <v>248</v>
      </c>
      <c r="F38" s="257" t="s">
        <v>139</v>
      </c>
      <c r="H38" s="254">
        <f t="shared" si="1"/>
        <v>33</v>
      </c>
      <c r="I38" s="94">
        <v>9</v>
      </c>
      <c r="J38" s="142" t="s">
        <v>22</v>
      </c>
      <c r="K38" s="101" t="str" cm="1">
        <f t="array" ref="K38" xml:space="preserve"> IFERROR( INDEX($D$6:$D$57, MATCH(TRUE, EXACT($J38, $C$6:$C$57),0)), "")</f>
        <v>ai</v>
      </c>
      <c r="L38" s="353" t="str" cm="1">
        <f t="array" ref="L38" xml:space="preserve"> IFERROR( INDEX($E$6:$E$57, MATCH(TRUE, EXACT($J38, $C$6:$C$57),0)), "")</f>
        <v>y</v>
      </c>
      <c r="N38" s="254">
        <f t="shared" si="2"/>
        <v>33</v>
      </c>
      <c r="O38" s="358" t="s">
        <v>635</v>
      </c>
      <c r="P38" s="142" t="str">
        <f>C43</f>
        <v>ㆮ</v>
      </c>
      <c r="Q38" s="101" t="str" cm="1">
        <f t="array" ref="Q38" xml:space="preserve"> IFERROR( INDEX($D$6:$D$57, MATCH(TRUE, EXACT($P38, $C$6:$C$57),0)), "")</f>
        <v>aiN</v>
      </c>
      <c r="R38" s="353" t="str" cm="1">
        <f t="array" ref="R38" xml:space="preserve"> IFERROR( INDEX($E$6:$E$57, MATCH(TRUE, EXACT($P38, $C$6:$C$57),0)), "")</f>
        <v>Y</v>
      </c>
    </row>
    <row r="39" spans="2:18">
      <c r="B39" s="369">
        <f t="shared" si="0"/>
        <v>34</v>
      </c>
      <c r="C39" s="142" t="s">
        <v>100</v>
      </c>
      <c r="D39" s="267" t="s">
        <v>806</v>
      </c>
      <c r="E39" s="93" t="s">
        <v>87</v>
      </c>
      <c r="F39" s="255" t="s">
        <v>66</v>
      </c>
      <c r="H39" s="256">
        <f t="shared" si="1"/>
        <v>34</v>
      </c>
      <c r="I39" s="91" t="s">
        <v>139</v>
      </c>
      <c r="J39" s="141" t="s">
        <v>939</v>
      </c>
      <c r="K39" s="100" t="str" cm="1">
        <f t="array" ref="K39" xml:space="preserve"> IFERROR( INDEX($D$6:$D$57, MATCH(TRUE, EXACT($J39, $C$6:$C$57),0)), "")</f>
        <v>ir</v>
      </c>
      <c r="L39" s="354" t="str" cm="1">
        <f t="array" ref="L39" xml:space="preserve"> IFERROR( INDEX($E$6:$E$57, MATCH(TRUE, EXACT($J39, $C$6:$C$57),0)), "")</f>
        <v>w</v>
      </c>
      <c r="N39" s="256">
        <f t="shared" si="2"/>
        <v>34</v>
      </c>
      <c r="O39" s="91" t="s">
        <v>207</v>
      </c>
      <c r="P39" s="141"/>
      <c r="Q39" s="100" t="str" cm="1">
        <f t="array" ref="Q39" xml:space="preserve"> IFERROR( INDEX($D$6:$D$57, MATCH(TRUE, EXACT($P39, $C$6:$C$57),0)), "")</f>
        <v/>
      </c>
      <c r="R39" s="354" t="str" cm="1">
        <f t="array" ref="R39" xml:space="preserve"> IFERROR( INDEX($E$6:$E$57, MATCH(TRUE, EXACT($P39, $C$6:$C$57),0)), "")</f>
        <v/>
      </c>
    </row>
    <row r="40" spans="2:18">
      <c r="B40" s="370">
        <f t="shared" si="0"/>
        <v>35</v>
      </c>
      <c r="C40" s="141" t="s">
        <v>54</v>
      </c>
      <c r="D40" s="153" t="s">
        <v>232</v>
      </c>
      <c r="E40" s="90" t="s">
        <v>595</v>
      </c>
      <c r="F40" s="257" t="s">
        <v>9</v>
      </c>
      <c r="H40" s="256">
        <f t="shared" si="1"/>
        <v>35</v>
      </c>
      <c r="I40" s="91" t="s">
        <v>194</v>
      </c>
      <c r="J40" s="141" t="s">
        <v>80</v>
      </c>
      <c r="K40" s="100" t="str" cm="1">
        <f t="array" ref="K40" xml:space="preserve"> IFERROR( INDEX($D$6:$D$57, MATCH(TRUE, EXACT($J40, $C$6:$C$57),0)), "")</f>
        <v>au</v>
      </c>
      <c r="L40" s="355" t="str" cm="1">
        <f t="array" ref="L40" xml:space="preserve"> IFERROR( INDEX($E$6:$E$57, MATCH(TRUE, EXACT($J40, $C$6:$C$57),0)), "")</f>
        <v>x</v>
      </c>
      <c r="N40" s="256">
        <f t="shared" si="2"/>
        <v>35</v>
      </c>
      <c r="O40" s="91" t="s">
        <v>627</v>
      </c>
      <c r="P40" s="141" t="str">
        <f>C45</f>
        <v>ㆯ</v>
      </c>
      <c r="Q40" s="100" t="str" cm="1">
        <f t="array" ref="Q40" xml:space="preserve"> IFERROR( INDEX($D$6:$D$57, MATCH(TRUE, EXACT($P40, $C$6:$C$57),0)), "")</f>
        <v>auN</v>
      </c>
      <c r="R40" s="355" t="str" cm="1">
        <f t="array" ref="R40" xml:space="preserve"> IFERROR( INDEX($E$6:$E$57, MATCH(TRUE, EXACT($P40, $C$6:$C$57),0)), "")</f>
        <v>X</v>
      </c>
    </row>
    <row r="41" spans="2:18">
      <c r="B41" s="371">
        <f t="shared" si="0"/>
        <v>36</v>
      </c>
      <c r="C41" s="143" t="s">
        <v>102</v>
      </c>
      <c r="D41" s="272" t="s">
        <v>153</v>
      </c>
      <c r="E41" s="95" t="s">
        <v>668</v>
      </c>
      <c r="F41" s="545" t="s">
        <v>257</v>
      </c>
      <c r="H41" s="258">
        <f t="shared" si="1"/>
        <v>36</v>
      </c>
      <c r="I41" s="96" t="s">
        <v>799</v>
      </c>
      <c r="J41" s="143" t="s">
        <v>113</v>
      </c>
      <c r="K41" s="102" t="str" cm="1">
        <f t="array" ref="K41" xml:space="preserve"> IFERROR( INDEX($D$6:$D$57, MATCH(TRUE, EXACT($J41, $C$6:$C$57),0)), "")</f>
        <v>am</v>
      </c>
      <c r="L41" s="356" t="str" cm="1">
        <f t="array" ref="L41" xml:space="preserve"> IFERROR( INDEX($E$6:$E$57, MATCH(TRUE, EXACT($J41, $C$6:$C$57),0)), "")</f>
        <v>{</v>
      </c>
      <c r="N41" s="258">
        <f t="shared" si="2"/>
        <v>36</v>
      </c>
      <c r="O41" s="357" t="s">
        <v>932</v>
      </c>
      <c r="P41" s="143" t="s">
        <v>114</v>
      </c>
      <c r="Q41" s="102" t="str" cm="1">
        <f t="array" ref="Q41" xml:space="preserve"> IFERROR( INDEX($D$6:$D$57, MATCH(TRUE, EXACT($P41, $C$6:$C$57),0)), "")</f>
        <v>om</v>
      </c>
      <c r="R41" s="356" t="str" cm="1">
        <f t="array" ref="R41" xml:space="preserve"> IFERROR( INDEX($E$6:$E$57, MATCH(TRUE, EXACT($P41, $C$6:$C$57),0)), "")</f>
        <v>}</v>
      </c>
    </row>
    <row r="42" spans="2:18">
      <c r="B42" s="369">
        <f t="shared" si="0"/>
        <v>37</v>
      </c>
      <c r="C42" s="142" t="s">
        <v>22</v>
      </c>
      <c r="D42" s="267" t="s">
        <v>372</v>
      </c>
      <c r="E42" s="93" t="s">
        <v>208</v>
      </c>
      <c r="F42" s="255">
        <v>9</v>
      </c>
      <c r="H42" s="254">
        <f t="shared" si="1"/>
        <v>37</v>
      </c>
      <c r="I42" s="94">
        <v>0</v>
      </c>
      <c r="J42" s="142" t="s">
        <v>23</v>
      </c>
      <c r="K42" s="101" t="str" cm="1">
        <f t="array" ref="K42" xml:space="preserve"> IFERROR( INDEX($D$6:$D$57, MATCH(TRUE, EXACT($J42, $C$6:$C$57),0)), "")</f>
        <v>an</v>
      </c>
      <c r="L42" s="353" t="str" cm="1">
        <f t="array" ref="L42" xml:space="preserve"> IFERROR( INDEX($E$6:$E$57, MATCH(TRUE, EXACT($J42, $C$6:$C$57),0)), "")</f>
        <v>@</v>
      </c>
      <c r="N42" s="254">
        <f t="shared" si="2"/>
        <v>37</v>
      </c>
      <c r="O42" s="358" t="s">
        <v>822</v>
      </c>
      <c r="P42" s="142"/>
      <c r="Q42" s="101" t="str" cm="1">
        <f t="array" ref="Q42" xml:space="preserve"> IFERROR( INDEX($D$6:$D$57, MATCH(TRUE, EXACT($P42, $C$6:$C$57),0)), "")</f>
        <v/>
      </c>
      <c r="R42" s="353" t="str" cm="1">
        <f t="array" ref="R42" xml:space="preserve"> IFERROR( INDEX($E$6:$E$57, MATCH(TRUE, EXACT($P42, $C$6:$C$57),0)), "")</f>
        <v/>
      </c>
    </row>
    <row r="43" spans="2:18">
      <c r="B43" s="370">
        <f t="shared" si="0"/>
        <v>38</v>
      </c>
      <c r="C43" s="141" t="s">
        <v>111</v>
      </c>
      <c r="D43" s="153" t="s">
        <v>936</v>
      </c>
      <c r="E43" s="90" t="s">
        <v>209</v>
      </c>
      <c r="F43" s="257" t="s">
        <v>179</v>
      </c>
      <c r="H43" s="256">
        <f t="shared" si="1"/>
        <v>38</v>
      </c>
      <c r="I43" s="91" t="s">
        <v>191</v>
      </c>
      <c r="J43" s="141" t="s">
        <v>54</v>
      </c>
      <c r="K43" s="100" t="str" cm="1">
        <f t="array" ref="K43" xml:space="preserve"> IFERROR( INDEX($D$6:$D$57, MATCH(TRUE, EXACT($J43, $C$6:$C$57),0)), "")</f>
        <v>-n</v>
      </c>
      <c r="L43" s="354" t="str" cm="1">
        <f t="array" ref="L43" xml:space="preserve"> IFERROR( INDEX($E$6:$E$57, MATCH(TRUE, EXACT($J43, $C$6:$C$57),0)), "")</f>
        <v>N</v>
      </c>
      <c r="N43" s="256">
        <f t="shared" si="2"/>
        <v>38</v>
      </c>
      <c r="O43" s="91" t="s">
        <v>240</v>
      </c>
      <c r="P43" s="141"/>
      <c r="Q43" s="100" t="str" cm="1">
        <f t="array" ref="Q43" xml:space="preserve"> IFERROR( INDEX($D$6:$D$57, MATCH(TRUE, EXACT($P43, $C$6:$C$57),0)), "")</f>
        <v/>
      </c>
      <c r="R43" s="354" t="str" cm="1">
        <f t="array" ref="R43" xml:space="preserve"> IFERROR( INDEX($E$6:$E$57, MATCH(TRUE, EXACT($P43, $C$6:$C$57),0)), "")</f>
        <v/>
      </c>
    </row>
    <row r="44" spans="2:18">
      <c r="B44" s="370">
        <f t="shared" si="0"/>
        <v>39</v>
      </c>
      <c r="C44" s="141" t="s">
        <v>80</v>
      </c>
      <c r="D44" s="153" t="s">
        <v>375</v>
      </c>
      <c r="E44" s="90" t="s">
        <v>250</v>
      </c>
      <c r="F44" s="257" t="s">
        <v>93</v>
      </c>
      <c r="H44" s="256">
        <f t="shared" si="1"/>
        <v>39</v>
      </c>
      <c r="I44" s="91" t="s">
        <v>630</v>
      </c>
      <c r="J44" s="141" t="s">
        <v>81</v>
      </c>
      <c r="K44" s="100" t="str" cm="1">
        <f t="array" ref="K44" xml:space="preserve"> IFERROR( INDEX($D$6:$D$57, MATCH(TRUE, EXACT($J44, $C$6:$C$57),0)), "")</f>
        <v>ang</v>
      </c>
      <c r="L44" s="355" t="str" cm="1">
        <f t="array" ref="L44" xml:space="preserve"> IFERROR( INDEX($E$6:$E$57, MATCH(TRUE, EXACT($J44, $C$6:$C$57),0)), "")</f>
        <v>[</v>
      </c>
      <c r="N44" s="256">
        <f t="shared" si="2"/>
        <v>39</v>
      </c>
      <c r="O44" s="551" t="s">
        <v>827</v>
      </c>
      <c r="P44" s="141"/>
      <c r="Q44" s="100" t="str" cm="1">
        <f t="array" ref="Q44" xml:space="preserve"> IFERROR( INDEX($D$6:$D$57, MATCH(TRUE, EXACT($P44, $C$6:$C$57),0)), "")</f>
        <v/>
      </c>
      <c r="R44" s="355" t="str" cm="1">
        <f t="array" ref="R44" xml:space="preserve"> IFERROR( INDEX($E$6:$E$57, MATCH(TRUE, EXACT($P44, $C$6:$C$57),0)), "")</f>
        <v/>
      </c>
    </row>
    <row r="45" spans="2:18">
      <c r="B45" s="371">
        <f t="shared" si="0"/>
        <v>40</v>
      </c>
      <c r="C45" s="143" t="s">
        <v>112</v>
      </c>
      <c r="D45" s="268" t="s">
        <v>937</v>
      </c>
      <c r="E45" s="95" t="s">
        <v>651</v>
      </c>
      <c r="F45" s="259" t="s">
        <v>63</v>
      </c>
      <c r="H45" s="258">
        <f t="shared" si="1"/>
        <v>40</v>
      </c>
      <c r="I45" s="357" t="s">
        <v>257</v>
      </c>
      <c r="J45" s="143" t="s">
        <v>115</v>
      </c>
      <c r="K45" s="102" t="str" cm="1">
        <f t="array" ref="K45" xml:space="preserve"> IFERROR( INDEX($D$6:$D$57, MATCH(TRUE, EXACT($J45, $C$6:$C$57),0)), "")</f>
        <v>ing</v>
      </c>
      <c r="L45" s="356" t="str" cm="1">
        <f t="array" ref="L45" xml:space="preserve"> IFERROR( INDEX($E$6:$E$57, MATCH(TRUE, EXACT($J45, $C$6:$C$57),0)), "")</f>
        <v>R</v>
      </c>
      <c r="N45" s="258">
        <f t="shared" si="2"/>
        <v>40</v>
      </c>
      <c r="O45" s="357" t="s">
        <v>196</v>
      </c>
      <c r="P45" s="143"/>
      <c r="Q45" s="102" t="str" cm="1">
        <f t="array" ref="Q45" xml:space="preserve"> IFERROR( INDEX($D$6:$D$57, MATCH(TRUE, EXACT($P45, $C$6:$C$57),0)), "")</f>
        <v/>
      </c>
      <c r="R45" s="356" t="str" cm="1">
        <f t="array" ref="R45" xml:space="preserve"> IFERROR( INDEX($E$6:$E$57, MATCH(TRUE, EXACT($P45, $C$6:$C$57),0)), "")</f>
        <v/>
      </c>
    </row>
    <row r="46" spans="2:18">
      <c r="B46" s="369">
        <f t="shared" si="0"/>
        <v>41</v>
      </c>
      <c r="C46" s="142" t="s">
        <v>23</v>
      </c>
      <c r="D46" s="267" t="s">
        <v>509</v>
      </c>
      <c r="E46" s="93" t="s">
        <v>816</v>
      </c>
      <c r="F46" s="255">
        <v>0</v>
      </c>
      <c r="H46" s="254">
        <f t="shared" si="1"/>
        <v>41</v>
      </c>
      <c r="I46" s="358" t="s">
        <v>620</v>
      </c>
      <c r="J46" s="142"/>
      <c r="K46" s="101" t="str" cm="1">
        <f t="array" ref="K46" xml:space="preserve"> IFERROR( INDEX($D$6:$D$57, MATCH(TRUE, EXACT($J46, $C$6:$C$57),0)), "")</f>
        <v/>
      </c>
      <c r="L46" s="353" t="str" cm="1">
        <f t="array" ref="L46" xml:space="preserve"> IFERROR( INDEX($E$6:$E$57, MATCH(TRUE, EXACT($J46, $C$6:$C$57),0)), "")</f>
        <v/>
      </c>
      <c r="N46" s="254">
        <f t="shared" si="2"/>
        <v>41</v>
      </c>
      <c r="O46" s="358" t="s">
        <v>823</v>
      </c>
      <c r="P46" s="142"/>
      <c r="Q46" s="101" t="str" cm="1">
        <f t="array" ref="Q46" xml:space="preserve"> IFERROR( INDEX($D$6:$D$57, MATCH(TRUE, EXACT($P46, $C$6:$C$57),0)), "")</f>
        <v/>
      </c>
      <c r="R46" s="353" t="str" cm="1">
        <f t="array" ref="R46" xml:space="preserve"> IFERROR( INDEX($E$6:$E$57, MATCH(TRUE, EXACT($P46, $C$6:$C$57),0)), "")</f>
        <v/>
      </c>
    </row>
    <row r="47" spans="2:18">
      <c r="B47" s="370">
        <f t="shared" si="0"/>
        <v>42</v>
      </c>
      <c r="C47" s="141" t="s">
        <v>81</v>
      </c>
      <c r="D47" s="153" t="s">
        <v>512</v>
      </c>
      <c r="E47" s="90" t="s">
        <v>800</v>
      </c>
      <c r="F47" s="544" t="s">
        <v>630</v>
      </c>
      <c r="H47" s="256">
        <f t="shared" si="1"/>
        <v>42</v>
      </c>
      <c r="I47" s="91" t="s">
        <v>800</v>
      </c>
      <c r="J47" s="141" t="s">
        <v>807</v>
      </c>
      <c r="K47" s="100" t="s">
        <v>807</v>
      </c>
      <c r="L47" s="354" t="s">
        <v>807</v>
      </c>
      <c r="N47" s="256">
        <f t="shared" si="2"/>
        <v>42</v>
      </c>
      <c r="O47" s="551" t="s">
        <v>825</v>
      </c>
      <c r="P47" s="141"/>
      <c r="Q47" s="100" t="str" cm="1">
        <f t="array" ref="Q47" xml:space="preserve"> IFERROR( INDEX($D$6:$D$57, MATCH(TRUE, EXACT($P47, $C$6:$C$57),0)), "")</f>
        <v/>
      </c>
      <c r="R47" s="354" t="str" cm="1">
        <f t="array" ref="R47" xml:space="preserve"> IFERROR( INDEX($E$6:$E$57, MATCH(TRUE, EXACT($P47, $C$6:$C$57),0)), "")</f>
        <v/>
      </c>
    </row>
    <row r="48" spans="2:18">
      <c r="B48" s="370">
        <f t="shared" si="0"/>
        <v>43</v>
      </c>
      <c r="C48" s="141" t="s">
        <v>115</v>
      </c>
      <c r="D48" s="271" t="s">
        <v>930</v>
      </c>
      <c r="E48" s="90" t="s">
        <v>652</v>
      </c>
      <c r="F48" s="257" t="s">
        <v>184</v>
      </c>
      <c r="H48" s="258">
        <f t="shared" si="1"/>
        <v>43</v>
      </c>
      <c r="I48" s="357" t="s">
        <v>801</v>
      </c>
      <c r="J48" s="143" t="s">
        <v>807</v>
      </c>
      <c r="K48" s="102" t="s">
        <v>807</v>
      </c>
      <c r="L48" s="552" t="s">
        <v>807</v>
      </c>
      <c r="N48" s="258">
        <f t="shared" si="2"/>
        <v>43</v>
      </c>
      <c r="O48" s="357" t="s">
        <v>828</v>
      </c>
      <c r="P48" s="143"/>
      <c r="Q48" s="102" t="str" cm="1">
        <f t="array" ref="Q48" xml:space="preserve"> IFERROR( INDEX($D$6:$D$57, MATCH(TRUE, EXACT($P48, $C$6:$C$57),0)), "")</f>
        <v/>
      </c>
      <c r="R48" s="552" t="str" cm="1">
        <f t="array" ref="R48" xml:space="preserve"> IFERROR( INDEX($E$6:$E$57, MATCH(TRUE, EXACT($P48, $C$6:$C$57),0)), "")</f>
        <v/>
      </c>
    </row>
    <row r="49" spans="2:18">
      <c r="B49" s="370">
        <f t="shared" si="0"/>
        <v>44</v>
      </c>
      <c r="C49" s="141" t="s">
        <v>101</v>
      </c>
      <c r="D49" s="153" t="s">
        <v>152</v>
      </c>
      <c r="E49" s="90" t="s">
        <v>803</v>
      </c>
      <c r="F49" s="544" t="s">
        <v>827</v>
      </c>
      <c r="H49" s="254">
        <f t="shared" si="1"/>
        <v>44</v>
      </c>
      <c r="I49" s="358" t="s">
        <v>802</v>
      </c>
      <c r="J49" s="142" t="s">
        <v>807</v>
      </c>
      <c r="K49" s="101" t="s">
        <v>807</v>
      </c>
      <c r="L49" s="353" t="s">
        <v>807</v>
      </c>
      <c r="N49" s="254">
        <f t="shared" si="2"/>
        <v>44</v>
      </c>
      <c r="O49" s="358" t="s">
        <v>824</v>
      </c>
      <c r="P49" s="142"/>
      <c r="Q49" s="101" t="str" cm="1">
        <f t="array" ref="Q49" xml:space="preserve"> IFERROR( INDEX($D$6:$D$57, MATCH(TRUE, EXACT($P49, $C$6:$C$57),0)), "")</f>
        <v/>
      </c>
      <c r="R49" s="353" t="str" cm="1">
        <f t="array" ref="R49" xml:space="preserve"> IFERROR( INDEX($E$6:$E$57, MATCH(TRUE, EXACT($P49, $C$6:$C$57),0)), "")</f>
        <v/>
      </c>
    </row>
    <row r="50" spans="2:18">
      <c r="B50" s="370">
        <f t="shared" si="0"/>
        <v>45</v>
      </c>
      <c r="C50" s="141" t="s">
        <v>113</v>
      </c>
      <c r="D50" s="153" t="s">
        <v>147</v>
      </c>
      <c r="E50" s="90" t="s">
        <v>825</v>
      </c>
      <c r="F50" s="544" t="s">
        <v>799</v>
      </c>
      <c r="H50" s="258">
        <f t="shared" si="1"/>
        <v>45</v>
      </c>
      <c r="I50" s="357" t="s">
        <v>803</v>
      </c>
      <c r="J50" s="143" t="s">
        <v>807</v>
      </c>
      <c r="K50" s="102" t="s">
        <v>807</v>
      </c>
      <c r="L50" s="356" t="s">
        <v>807</v>
      </c>
      <c r="N50" s="258">
        <f t="shared" si="2"/>
        <v>45</v>
      </c>
      <c r="O50" s="357" t="s">
        <v>826</v>
      </c>
      <c r="P50" s="143"/>
      <c r="Q50" s="102" t="str" cm="1">
        <f t="array" ref="Q50" xml:space="preserve"> IFERROR( INDEX($D$6:$D$57, MATCH(TRUE, EXACT($P50, $C$6:$C$57),0)), "")</f>
        <v/>
      </c>
      <c r="R50" s="356" t="str" cm="1">
        <f t="array" ref="R50" xml:space="preserve"> IFERROR( INDEX($E$6:$E$57, MATCH(TRUE, EXACT($P50, $C$6:$C$57),0)), "")</f>
        <v/>
      </c>
    </row>
    <row r="51" spans="2:18">
      <c r="B51" s="370">
        <f t="shared" si="0"/>
        <v>46</v>
      </c>
      <c r="C51" s="141" t="s">
        <v>114</v>
      </c>
      <c r="D51" s="153" t="s">
        <v>148</v>
      </c>
      <c r="E51" s="90" t="s">
        <v>826</v>
      </c>
      <c r="F51" s="544" t="s">
        <v>932</v>
      </c>
      <c r="H51" s="258">
        <f t="shared" si="1"/>
        <v>46</v>
      </c>
      <c r="I51" s="357" t="s">
        <v>804</v>
      </c>
      <c r="J51" s="143" t="s">
        <v>807</v>
      </c>
      <c r="K51" s="102" t="s">
        <v>807</v>
      </c>
      <c r="L51" s="356" t="s">
        <v>807</v>
      </c>
      <c r="N51" s="258">
        <f t="shared" si="2"/>
        <v>46</v>
      </c>
      <c r="O51" s="357" t="s">
        <v>829</v>
      </c>
      <c r="P51" s="143"/>
      <c r="Q51" s="102" t="str" cm="1">
        <f t="array" ref="Q51" xml:space="preserve"> IFERROR( INDEX($D$6:$D$57, MATCH(TRUE, EXACT($P51, $C$6:$C$57),0)), "")</f>
        <v/>
      </c>
      <c r="R51" s="356" t="str" cm="1">
        <f t="array" ref="R51" xml:space="preserve"> IFERROR( INDEX($E$6:$E$57, MATCH(TRUE, EXACT($P51, $C$6:$C$57),0)), "")</f>
        <v/>
      </c>
    </row>
    <row r="52" spans="2:18">
      <c r="B52" s="369">
        <f t="shared" si="0"/>
        <v>47</v>
      </c>
      <c r="C52" s="142" t="s">
        <v>943</v>
      </c>
      <c r="D52" s="267">
        <v>1</v>
      </c>
      <c r="E52" s="93">
        <v>1</v>
      </c>
      <c r="F52" s="255" t="str">
        <f>CHAR(32)</f>
        <v xml:space="preserve"> </v>
      </c>
      <c r="H52" s="14">
        <f t="shared" si="1"/>
        <v>47</v>
      </c>
      <c r="I52" s="91"/>
      <c r="J52" s="141"/>
      <c r="K52" s="100"/>
      <c r="L52" s="92"/>
      <c r="N52" s="14">
        <f t="shared" si="2"/>
        <v>47</v>
      </c>
      <c r="O52" s="91"/>
      <c r="P52" s="141"/>
      <c r="Q52" s="100" t="str">
        <f t="shared" ref="Q52:Q60" si="3" xml:space="preserve"> IFERROR( INDEX($D$6:$D$61, MATCH($P52, $C$6:$C$61,0)), "")</f>
        <v/>
      </c>
      <c r="R52" s="92" t="str">
        <f t="shared" ref="R52:R60" si="4" xml:space="preserve"> IFERROR( INDEX($E$6:$E$61, MATCH($P52, $C$6:$C$61,0)), "")</f>
        <v/>
      </c>
    </row>
    <row r="53" spans="2:18">
      <c r="B53" s="370">
        <f t="shared" si="0"/>
        <v>48</v>
      </c>
      <c r="C53" s="141" t="s">
        <v>14</v>
      </c>
      <c r="D53" s="153">
        <v>2</v>
      </c>
      <c r="E53" s="90">
        <v>2</v>
      </c>
      <c r="F53" s="257">
        <v>4</v>
      </c>
      <c r="H53" s="14">
        <f t="shared" si="1"/>
        <v>48</v>
      </c>
      <c r="I53" s="91"/>
      <c r="J53" s="141"/>
      <c r="K53" s="100"/>
      <c r="L53" s="90"/>
      <c r="N53" s="14">
        <f t="shared" si="2"/>
        <v>48</v>
      </c>
      <c r="O53" s="91"/>
      <c r="P53" s="141"/>
      <c r="Q53" s="100" t="str">
        <f t="shared" si="3"/>
        <v/>
      </c>
      <c r="R53" s="90" t="str">
        <f t="shared" si="4"/>
        <v/>
      </c>
    </row>
    <row r="54" spans="2:18">
      <c r="B54" s="370">
        <f t="shared" si="0"/>
        <v>49</v>
      </c>
      <c r="C54" s="141" t="s">
        <v>12</v>
      </c>
      <c r="D54" s="153">
        <v>3</v>
      </c>
      <c r="E54" s="90">
        <v>3</v>
      </c>
      <c r="F54" s="257">
        <v>3</v>
      </c>
      <c r="H54" s="14">
        <f t="shared" si="1"/>
        <v>49</v>
      </c>
      <c r="I54" s="91"/>
      <c r="J54" s="141"/>
      <c r="K54" s="100"/>
      <c r="L54" s="90"/>
      <c r="N54" s="14">
        <f t="shared" si="2"/>
        <v>49</v>
      </c>
      <c r="O54" s="91"/>
      <c r="P54" s="141"/>
      <c r="Q54" s="100" t="str">
        <f t="shared" si="3"/>
        <v/>
      </c>
      <c r="R54" s="90" t="str">
        <f t="shared" si="4"/>
        <v/>
      </c>
    </row>
    <row r="55" spans="2:18">
      <c r="B55" s="370">
        <f t="shared" si="0"/>
        <v>50</v>
      </c>
      <c r="C55" s="141" t="s">
        <v>18</v>
      </c>
      <c r="D55" s="153">
        <v>5</v>
      </c>
      <c r="E55" s="90">
        <v>5</v>
      </c>
      <c r="F55" s="257">
        <v>6</v>
      </c>
      <c r="H55" s="14">
        <f t="shared" si="1"/>
        <v>50</v>
      </c>
      <c r="I55" s="91"/>
      <c r="J55" s="141"/>
      <c r="K55" s="100"/>
      <c r="L55" s="90"/>
      <c r="N55" s="14">
        <f t="shared" si="2"/>
        <v>50</v>
      </c>
      <c r="O55" s="91"/>
      <c r="P55" s="141"/>
      <c r="Q55" s="100" t="str">
        <f t="shared" si="3"/>
        <v/>
      </c>
      <c r="R55" s="90" t="str">
        <f t="shared" si="4"/>
        <v/>
      </c>
    </row>
    <row r="56" spans="2:18">
      <c r="B56" s="370">
        <f t="shared" si="0"/>
        <v>51</v>
      </c>
      <c r="C56" s="141" t="s">
        <v>16</v>
      </c>
      <c r="D56" s="153">
        <v>7</v>
      </c>
      <c r="E56" s="90">
        <v>7</v>
      </c>
      <c r="F56" s="257">
        <v>5</v>
      </c>
      <c r="H56" s="14">
        <f t="shared" si="1"/>
        <v>51</v>
      </c>
      <c r="I56" s="91"/>
      <c r="J56" s="141"/>
      <c r="K56" s="100"/>
      <c r="L56" s="92"/>
      <c r="N56" s="14">
        <f t="shared" si="2"/>
        <v>51</v>
      </c>
      <c r="O56" s="91"/>
      <c r="P56" s="141"/>
      <c r="Q56" s="100" t="str">
        <f t="shared" si="3"/>
        <v/>
      </c>
      <c r="R56" s="92" t="str">
        <f t="shared" si="4"/>
        <v/>
      </c>
    </row>
    <row r="57" spans="2:18">
      <c r="B57" s="370">
        <f t="shared" si="0"/>
        <v>52</v>
      </c>
      <c r="C57" s="141" t="s">
        <v>123</v>
      </c>
      <c r="D57" s="153">
        <v>8</v>
      </c>
      <c r="E57" s="90">
        <v>0</v>
      </c>
      <c r="F57" s="257">
        <v>7</v>
      </c>
      <c r="H57" s="14">
        <f t="shared" si="1"/>
        <v>52</v>
      </c>
      <c r="I57" s="91"/>
      <c r="J57" s="141"/>
      <c r="K57" s="100"/>
      <c r="L57" s="90"/>
      <c r="N57" s="14">
        <f t="shared" si="2"/>
        <v>52</v>
      </c>
      <c r="O57" s="91"/>
      <c r="P57" s="141"/>
      <c r="Q57" s="100" t="str">
        <f t="shared" si="3"/>
        <v/>
      </c>
      <c r="R57" s="90" t="str">
        <f t="shared" si="4"/>
        <v/>
      </c>
    </row>
    <row r="58" spans="2:18">
      <c r="B58" s="369">
        <f t="shared" si="0"/>
        <v>53</v>
      </c>
      <c r="C58" s="142" t="s">
        <v>119</v>
      </c>
      <c r="D58" s="267"/>
      <c r="E58" s="93"/>
      <c r="F58" s="255"/>
      <c r="H58" s="14">
        <f t="shared" si="1"/>
        <v>53</v>
      </c>
      <c r="I58" s="91"/>
      <c r="J58" s="141"/>
      <c r="K58" s="100"/>
      <c r="L58" s="90"/>
      <c r="N58" s="14">
        <f t="shared" si="2"/>
        <v>53</v>
      </c>
      <c r="O58" s="91"/>
      <c r="P58" s="141"/>
      <c r="Q58" s="100" t="str">
        <f t="shared" si="3"/>
        <v/>
      </c>
      <c r="R58" s="90" t="str">
        <f t="shared" si="4"/>
        <v/>
      </c>
    </row>
    <row r="59" spans="2:18">
      <c r="B59" s="370">
        <f t="shared" si="0"/>
        <v>54</v>
      </c>
      <c r="C59" s="141" t="s">
        <v>120</v>
      </c>
      <c r="D59" s="153"/>
      <c r="E59" s="90"/>
      <c r="F59" s="257"/>
      <c r="H59" s="14">
        <f t="shared" si="1"/>
        <v>54</v>
      </c>
      <c r="I59" s="91"/>
      <c r="J59" s="141"/>
      <c r="K59" s="100"/>
      <c r="L59" s="90"/>
      <c r="N59" s="14">
        <f t="shared" si="2"/>
        <v>54</v>
      </c>
      <c r="O59" s="91"/>
      <c r="P59" s="141"/>
      <c r="Q59" s="100" t="str">
        <f t="shared" si="3"/>
        <v/>
      </c>
      <c r="R59" s="90" t="str">
        <f t="shared" si="4"/>
        <v/>
      </c>
    </row>
    <row r="60" spans="2:18">
      <c r="B60" s="370">
        <f t="shared" si="0"/>
        <v>55</v>
      </c>
      <c r="C60" s="141" t="s">
        <v>121</v>
      </c>
      <c r="D60" s="153"/>
      <c r="E60" s="90"/>
      <c r="F60" s="257"/>
      <c r="H60" s="14">
        <f t="shared" si="1"/>
        <v>55</v>
      </c>
      <c r="I60" s="91"/>
      <c r="J60" s="141"/>
      <c r="K60" s="100"/>
      <c r="L60" s="92"/>
      <c r="N60" s="14">
        <f t="shared" si="2"/>
        <v>55</v>
      </c>
      <c r="O60" s="91"/>
      <c r="P60" s="141"/>
      <c r="Q60" s="100" t="str">
        <f t="shared" si="3"/>
        <v/>
      </c>
      <c r="R60" s="92" t="str">
        <f t="shared" si="4"/>
        <v/>
      </c>
    </row>
    <row r="61" spans="2:18">
      <c r="B61" s="371">
        <f t="shared" si="0"/>
        <v>56</v>
      </c>
      <c r="C61" s="143" t="s">
        <v>122</v>
      </c>
      <c r="D61" s="268"/>
      <c r="E61" s="95"/>
      <c r="F61" s="259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61" customWidth="1"/>
    <col min="2" max="2" width="3.796875" style="161" bestFit="1" customWidth="1"/>
    <col min="3" max="4" width="3.796875" style="161" customWidth="1"/>
    <col min="5" max="5" width="10" style="161" customWidth="1" outlineLevel="1"/>
    <col min="6" max="6" width="10.09765625" style="162" customWidth="1" outlineLevel="2"/>
    <col min="7" max="8" width="10.09765625" style="163" customWidth="1" outlineLevel="1"/>
    <col min="9" max="9" width="10.09765625" style="162" customWidth="1" outlineLevel="2"/>
    <col min="10" max="10" width="3.796875" style="161" customWidth="1" outlineLevel="1"/>
    <col min="11" max="11" width="3.796875" style="161" customWidth="1"/>
    <col min="12" max="12" width="10" style="161" bestFit="1" customWidth="1"/>
    <col min="13" max="13" width="10.09765625" style="161" customWidth="1"/>
    <col min="14" max="14" width="10.09765625" style="164" customWidth="1"/>
    <col min="15" max="16" width="3.796875" style="161" customWidth="1"/>
    <col min="17" max="17" width="10" style="161" bestFit="1" customWidth="1"/>
    <col min="18" max="18" width="10.09765625" style="162" customWidth="1"/>
    <col min="19" max="19" width="10.09765625" style="163" customWidth="1"/>
    <col min="20" max="22" width="8.796875" style="161"/>
    <col min="23" max="27" width="11.796875" style="161" customWidth="1"/>
    <col min="28" max="16384" width="8.796875" style="161"/>
  </cols>
  <sheetData>
    <row r="1" spans="1:27">
      <c r="E1" s="161" t="s">
        <v>521</v>
      </c>
      <c r="L1" s="161" t="s">
        <v>522</v>
      </c>
      <c r="Q1" s="161" t="s">
        <v>523</v>
      </c>
    </row>
    <row r="2" spans="1:27" ht="25.5">
      <c r="A2" s="161" t="s">
        <v>524</v>
      </c>
      <c r="F2" s="165" t="s">
        <v>525</v>
      </c>
      <c r="G2" s="165" t="s">
        <v>526</v>
      </c>
      <c r="H2" s="166" t="s">
        <v>527</v>
      </c>
      <c r="I2" s="165" t="s">
        <v>528</v>
      </c>
      <c r="M2" s="167" t="s">
        <v>526</v>
      </c>
      <c r="N2" s="168" t="s">
        <v>529</v>
      </c>
      <c r="R2" s="165" t="s">
        <v>527</v>
      </c>
      <c r="S2" s="166" t="s">
        <v>528</v>
      </c>
      <c r="W2" s="169" t="s">
        <v>353</v>
      </c>
      <c r="X2" s="169" t="s">
        <v>292</v>
      </c>
      <c r="Y2" s="169" t="s">
        <v>290</v>
      </c>
      <c r="Z2" s="169" t="s">
        <v>289</v>
      </c>
      <c r="AA2" s="169" t="s">
        <v>279</v>
      </c>
    </row>
    <row r="3" spans="1:27">
      <c r="A3" s="170" t="s">
        <v>530</v>
      </c>
      <c r="B3" s="161">
        <f xml:space="preserve"> LEN(A3)</f>
        <v>42</v>
      </c>
      <c r="E3" s="161">
        <v>1</v>
      </c>
      <c r="F3" s="171" t="str">
        <f t="shared" ref="F3:F44" si="0" xml:space="preserve"> IFERROR(  INDEX(拼音字母, MATCH(H3, 鍵盤位置, 0)), "")</f>
        <v>p</v>
      </c>
      <c r="G3" s="172" t="s">
        <v>9</v>
      </c>
      <c r="H3" s="173">
        <v>1</v>
      </c>
      <c r="I3" s="174" t="str">
        <f t="shared" ref="I3:I44" si="1" xml:space="preserve"> IFERROR(  INDEX(方音符號, MATCH($H3, 鍵盤位置, 0)), "")</f>
        <v>ㄅ</v>
      </c>
      <c r="L3" s="161">
        <v>1</v>
      </c>
      <c r="M3" s="175" t="str">
        <f t="shared" ref="M3:M28" si="2" xml:space="preserve"> MID($A$7, $E3, 1)</f>
        <v>p</v>
      </c>
      <c r="N3" s="175" t="str">
        <f t="shared" ref="N3:N28" si="3" xml:space="preserve"> MID($A$8, $E3, 1)</f>
        <v>ㄅ</v>
      </c>
      <c r="Q3" s="161">
        <v>1</v>
      </c>
      <c r="R3" s="176" t="str">
        <f t="shared" ref="R3:R43" si="4" xml:space="preserve"> MID($A$12, $E3, 1)</f>
        <v>1</v>
      </c>
      <c r="S3" s="176" t="str">
        <f t="shared" ref="S3:S43" si="5" xml:space="preserve"> MID($A$13, $E3, 1)</f>
        <v>ㄅ</v>
      </c>
      <c r="W3" s="164">
        <v>1</v>
      </c>
      <c r="X3" s="164" t="s">
        <v>8</v>
      </c>
      <c r="Y3" s="177" t="s">
        <v>9</v>
      </c>
      <c r="Z3" s="178" t="s">
        <v>9</v>
      </c>
      <c r="AA3" s="179" t="s">
        <v>310</v>
      </c>
    </row>
    <row r="4" spans="1:27">
      <c r="A4" s="170" t="s">
        <v>531</v>
      </c>
      <c r="B4" s="161">
        <f xml:space="preserve"> LEN(A4)</f>
        <v>42</v>
      </c>
      <c r="E4" s="161">
        <v>2</v>
      </c>
      <c r="F4" s="180" t="str">
        <f t="shared" si="0"/>
        <v>ph</v>
      </c>
      <c r="G4" s="181" t="s">
        <v>33</v>
      </c>
      <c r="H4" s="182" t="s">
        <v>164</v>
      </c>
      <c r="I4" s="183" t="str">
        <f t="shared" si="1"/>
        <v>ㄆ</v>
      </c>
      <c r="L4" s="161">
        <v>2</v>
      </c>
      <c r="M4" s="175" t="str">
        <f t="shared" si="2"/>
        <v>P</v>
      </c>
      <c r="N4" s="175" t="str">
        <f t="shared" si="3"/>
        <v>ㄆ</v>
      </c>
      <c r="Q4" s="161">
        <v>2</v>
      </c>
      <c r="R4" s="176" t="str">
        <f t="shared" si="4"/>
        <v>q</v>
      </c>
      <c r="S4" s="176" t="str">
        <f t="shared" si="5"/>
        <v>ㄆ</v>
      </c>
      <c r="W4" s="184" t="s">
        <v>532</v>
      </c>
      <c r="X4" s="164" t="s">
        <v>37</v>
      </c>
      <c r="Y4" s="177" t="s">
        <v>38</v>
      </c>
      <c r="Z4" s="178" t="s">
        <v>33</v>
      </c>
      <c r="AA4" s="179" t="s">
        <v>309</v>
      </c>
    </row>
    <row r="5" spans="1:27">
      <c r="E5" s="161">
        <v>3</v>
      </c>
      <c r="F5" s="180" t="str">
        <f t="shared" si="0"/>
        <v>m</v>
      </c>
      <c r="G5" s="181" t="s">
        <v>66</v>
      </c>
      <c r="H5" s="182" t="s">
        <v>21</v>
      </c>
      <c r="I5" s="183" t="str">
        <f t="shared" si="1"/>
        <v>ㄇ</v>
      </c>
      <c r="L5" s="161">
        <v>3</v>
      </c>
      <c r="M5" s="175" t="str">
        <f t="shared" si="2"/>
        <v>b</v>
      </c>
      <c r="N5" s="175" t="str">
        <f t="shared" si="3"/>
        <v>ㆠ</v>
      </c>
      <c r="Q5" s="161">
        <v>3</v>
      </c>
      <c r="R5" s="176" t="str">
        <f t="shared" si="4"/>
        <v>a</v>
      </c>
      <c r="S5" s="176" t="str">
        <f t="shared" si="5"/>
        <v>ㄇ</v>
      </c>
      <c r="W5" s="184" t="s">
        <v>533</v>
      </c>
      <c r="X5" s="164" t="s">
        <v>55</v>
      </c>
      <c r="Y5" s="177" t="s">
        <v>66</v>
      </c>
      <c r="Z5" s="178" t="s">
        <v>534</v>
      </c>
      <c r="AA5" s="179" t="s">
        <v>307</v>
      </c>
    </row>
    <row r="6" spans="1:27">
      <c r="A6" s="161" t="s">
        <v>535</v>
      </c>
      <c r="E6" s="161">
        <v>4</v>
      </c>
      <c r="F6" s="185" t="str">
        <f t="shared" si="0"/>
        <v>b</v>
      </c>
      <c r="G6" s="186" t="s">
        <v>91</v>
      </c>
      <c r="H6" s="187" t="s">
        <v>165</v>
      </c>
      <c r="I6" s="188" t="str">
        <f t="shared" si="1"/>
        <v>ㆠ</v>
      </c>
      <c r="L6" s="161">
        <v>4</v>
      </c>
      <c r="M6" s="175" t="str">
        <f t="shared" si="2"/>
        <v>t</v>
      </c>
      <c r="N6" s="175" t="str">
        <f t="shared" si="3"/>
        <v>ㄉ</v>
      </c>
      <c r="Q6" s="161">
        <v>4</v>
      </c>
      <c r="R6" s="176" t="str">
        <f t="shared" si="4"/>
        <v>z</v>
      </c>
      <c r="S6" s="176" t="str">
        <f t="shared" si="5"/>
        <v>ㆠ</v>
      </c>
      <c r="W6" s="189" t="s">
        <v>536</v>
      </c>
      <c r="X6" s="164" t="s">
        <v>90</v>
      </c>
      <c r="Y6" s="177" t="s">
        <v>91</v>
      </c>
      <c r="Z6" s="178" t="s">
        <v>91</v>
      </c>
      <c r="AA6" s="179" t="s">
        <v>308</v>
      </c>
    </row>
    <row r="7" spans="1:27">
      <c r="A7" s="170" t="s">
        <v>537</v>
      </c>
      <c r="B7" s="161">
        <f xml:space="preserve"> LEN(A7)</f>
        <v>26</v>
      </c>
      <c r="E7" s="161">
        <v>5</v>
      </c>
      <c r="F7" s="180" t="str">
        <f t="shared" si="0"/>
        <v>t</v>
      </c>
      <c r="G7" s="181" t="s">
        <v>11</v>
      </c>
      <c r="H7" s="182">
        <v>2</v>
      </c>
      <c r="I7" s="183" t="str">
        <f t="shared" si="1"/>
        <v>ㄉ</v>
      </c>
      <c r="L7" s="161">
        <v>5</v>
      </c>
      <c r="M7" s="175" t="str">
        <f t="shared" si="2"/>
        <v>T</v>
      </c>
      <c r="N7" s="175" t="str">
        <f t="shared" si="3"/>
        <v>ㄊ</v>
      </c>
      <c r="Q7" s="161">
        <v>5</v>
      </c>
      <c r="R7" s="176" t="str">
        <f t="shared" si="4"/>
        <v>2</v>
      </c>
      <c r="S7" s="176" t="str">
        <f t="shared" si="5"/>
        <v>ㄉ</v>
      </c>
      <c r="W7" s="164">
        <v>2</v>
      </c>
      <c r="X7" s="164" t="s">
        <v>10</v>
      </c>
      <c r="Y7" s="177" t="s">
        <v>11</v>
      </c>
      <c r="Z7" s="178" t="s">
        <v>11</v>
      </c>
      <c r="AA7" s="179" t="s">
        <v>306</v>
      </c>
    </row>
    <row r="8" spans="1:27">
      <c r="A8" s="170" t="s">
        <v>538</v>
      </c>
      <c r="B8" s="161">
        <f xml:space="preserve"> LEN(A8)</f>
        <v>26</v>
      </c>
      <c r="E8" s="161">
        <v>6</v>
      </c>
      <c r="F8" s="180" t="str">
        <f t="shared" si="0"/>
        <v>th</v>
      </c>
      <c r="G8" s="181" t="s">
        <v>28</v>
      </c>
      <c r="H8" s="182" t="s">
        <v>170</v>
      </c>
      <c r="I8" s="183" t="str">
        <f t="shared" si="1"/>
        <v>ㄊ</v>
      </c>
      <c r="L8" s="161">
        <v>6</v>
      </c>
      <c r="M8" s="175" t="str">
        <f t="shared" si="2"/>
        <v>d</v>
      </c>
      <c r="N8" s="175" t="str">
        <f t="shared" si="3"/>
        <v>ㄌ</v>
      </c>
      <c r="Q8" s="161">
        <v>6</v>
      </c>
      <c r="R8" s="176" t="str">
        <f t="shared" si="4"/>
        <v>w</v>
      </c>
      <c r="S8" s="176" t="str">
        <f t="shared" si="5"/>
        <v>ㄊ</v>
      </c>
      <c r="W8" s="184" t="s">
        <v>539</v>
      </c>
      <c r="X8" s="164" t="s">
        <v>39</v>
      </c>
      <c r="Y8" s="177" t="s">
        <v>40</v>
      </c>
      <c r="Z8" s="178" t="s">
        <v>28</v>
      </c>
      <c r="AA8" s="179" t="s">
        <v>305</v>
      </c>
    </row>
    <row r="9" spans="1:27">
      <c r="E9" s="161">
        <v>7</v>
      </c>
      <c r="F9" s="180" t="str">
        <f t="shared" si="0"/>
        <v>n</v>
      </c>
      <c r="G9" s="181" t="s">
        <v>68</v>
      </c>
      <c r="H9" s="182" t="s">
        <v>99</v>
      </c>
      <c r="I9" s="183" t="str">
        <f t="shared" si="1"/>
        <v>ㄋ</v>
      </c>
      <c r="L9" s="161">
        <v>7</v>
      </c>
      <c r="M9" s="175" t="str">
        <f t="shared" si="2"/>
        <v>k</v>
      </c>
      <c r="N9" s="175" t="str">
        <f t="shared" si="3"/>
        <v>ㄍ</v>
      </c>
      <c r="Q9" s="161">
        <v>7</v>
      </c>
      <c r="R9" s="176" t="str">
        <f t="shared" si="4"/>
        <v>s</v>
      </c>
      <c r="S9" s="176" t="str">
        <f t="shared" si="5"/>
        <v>ㄋ</v>
      </c>
      <c r="W9" s="184" t="s">
        <v>540</v>
      </c>
      <c r="X9" s="164" t="s">
        <v>67</v>
      </c>
      <c r="Y9" s="177" t="s">
        <v>68</v>
      </c>
      <c r="Z9" s="178" t="s">
        <v>541</v>
      </c>
      <c r="AA9" s="179" t="s">
        <v>304</v>
      </c>
    </row>
    <row r="10" spans="1:27">
      <c r="E10" s="161">
        <v>8</v>
      </c>
      <c r="F10" s="190" t="str">
        <f t="shared" si="0"/>
        <v>l</v>
      </c>
      <c r="G10" s="191" t="s">
        <v>163</v>
      </c>
      <c r="H10" s="192" t="s">
        <v>171</v>
      </c>
      <c r="I10" s="193" t="str">
        <f t="shared" si="1"/>
        <v>ㄌ</v>
      </c>
      <c r="L10" s="161">
        <v>8</v>
      </c>
      <c r="M10" s="175" t="str">
        <f t="shared" si="2"/>
        <v>K</v>
      </c>
      <c r="N10" s="175" t="str">
        <f t="shared" si="3"/>
        <v>ㄎ</v>
      </c>
      <c r="Q10" s="161">
        <v>8</v>
      </c>
      <c r="R10" s="176" t="str">
        <f t="shared" si="4"/>
        <v>x</v>
      </c>
      <c r="S10" s="176" t="str">
        <f t="shared" si="5"/>
        <v>ㄌ</v>
      </c>
      <c r="W10" s="184" t="s">
        <v>542</v>
      </c>
      <c r="X10" s="164" t="s">
        <v>92</v>
      </c>
      <c r="Y10" s="177" t="s">
        <v>93</v>
      </c>
      <c r="Z10" s="178" t="s">
        <v>163</v>
      </c>
      <c r="AA10" s="179" t="s">
        <v>303</v>
      </c>
    </row>
    <row r="11" spans="1:27">
      <c r="A11" s="161" t="s">
        <v>523</v>
      </c>
      <c r="E11" s="161">
        <v>9</v>
      </c>
      <c r="F11" s="171" t="str">
        <f t="shared" si="0"/>
        <v>k</v>
      </c>
      <c r="G11" s="172" t="s">
        <v>42</v>
      </c>
      <c r="H11" s="173" t="s">
        <v>53</v>
      </c>
      <c r="I11" s="194" t="str">
        <f t="shared" si="1"/>
        <v>ㄍ</v>
      </c>
      <c r="L11" s="161">
        <v>9</v>
      </c>
      <c r="M11" s="175" t="str">
        <f t="shared" si="2"/>
        <v>g</v>
      </c>
      <c r="N11" s="175" t="str">
        <f t="shared" si="3"/>
        <v>ㆣ</v>
      </c>
      <c r="Q11" s="161">
        <v>9</v>
      </c>
      <c r="R11" s="176" t="str">
        <f t="shared" si="4"/>
        <v>e</v>
      </c>
      <c r="S11" s="176" t="str">
        <f t="shared" si="5"/>
        <v>ㄍ</v>
      </c>
      <c r="W11" s="184" t="s">
        <v>543</v>
      </c>
      <c r="X11" s="164" t="s">
        <v>41</v>
      </c>
      <c r="Y11" s="177" t="s">
        <v>42</v>
      </c>
      <c r="Z11" s="178" t="s">
        <v>42</v>
      </c>
      <c r="AA11" s="179" t="s">
        <v>302</v>
      </c>
    </row>
    <row r="12" spans="1:27">
      <c r="A12" s="170" t="s">
        <v>544</v>
      </c>
      <c r="B12" s="161">
        <f xml:space="preserve"> LEN(A12)</f>
        <v>41</v>
      </c>
      <c r="E12" s="161">
        <v>10</v>
      </c>
      <c r="F12" s="180" t="str">
        <f t="shared" si="0"/>
        <v>kh</v>
      </c>
      <c r="G12" s="181" t="s">
        <v>62</v>
      </c>
      <c r="H12" s="182" t="s">
        <v>163</v>
      </c>
      <c r="I12" s="183" t="str">
        <f t="shared" si="1"/>
        <v>ㄎ</v>
      </c>
      <c r="L12" s="161">
        <v>10</v>
      </c>
      <c r="M12" s="195" t="str">
        <f t="shared" si="2"/>
        <v>c</v>
      </c>
      <c r="N12" s="195" t="str">
        <f t="shared" si="3"/>
        <v>ㄗ</v>
      </c>
      <c r="Q12" s="161">
        <v>10</v>
      </c>
      <c r="R12" s="176" t="str">
        <f t="shared" si="4"/>
        <v>d</v>
      </c>
      <c r="S12" s="176" t="str">
        <f t="shared" si="5"/>
        <v>ㄎ</v>
      </c>
      <c r="W12" s="184" t="s">
        <v>545</v>
      </c>
      <c r="X12" s="164" t="s">
        <v>69</v>
      </c>
      <c r="Y12" s="177" t="s">
        <v>70</v>
      </c>
      <c r="Z12" s="178" t="s">
        <v>62</v>
      </c>
      <c r="AA12" s="179" t="s">
        <v>301</v>
      </c>
    </row>
    <row r="13" spans="1:27">
      <c r="A13" s="213" t="s">
        <v>594</v>
      </c>
      <c r="B13" s="161">
        <f xml:space="preserve"> LEN(A13)</f>
        <v>41</v>
      </c>
      <c r="E13" s="161">
        <v>11</v>
      </c>
      <c r="F13" s="190" t="str">
        <f t="shared" si="0"/>
        <v>h</v>
      </c>
      <c r="G13" s="191" t="s">
        <v>95</v>
      </c>
      <c r="H13" s="192" t="s">
        <v>166</v>
      </c>
      <c r="I13" s="193" t="str">
        <f t="shared" si="1"/>
        <v>ㄏ</v>
      </c>
      <c r="L13" s="161">
        <v>11</v>
      </c>
      <c r="M13" s="195" t="str">
        <f t="shared" si="2"/>
        <v>C</v>
      </c>
      <c r="N13" s="195" t="str">
        <f t="shared" si="3"/>
        <v>ㄘ</v>
      </c>
      <c r="Q13" s="161">
        <v>11</v>
      </c>
      <c r="R13" s="176" t="str">
        <f t="shared" si="4"/>
        <v>c</v>
      </c>
      <c r="S13" s="176" t="str">
        <f t="shared" si="5"/>
        <v>ㄏ</v>
      </c>
      <c r="W13" s="184" t="s">
        <v>546</v>
      </c>
      <c r="X13" s="164" t="s">
        <v>94</v>
      </c>
      <c r="Y13" s="177" t="s">
        <v>95</v>
      </c>
      <c r="Z13" s="178" t="s">
        <v>95</v>
      </c>
      <c r="AA13" s="179" t="s">
        <v>298</v>
      </c>
    </row>
    <row r="14" spans="1:27">
      <c r="E14" s="161">
        <v>12</v>
      </c>
      <c r="F14" s="180" t="str">
        <f t="shared" si="0"/>
        <v>ci</v>
      </c>
      <c r="G14" s="172" t="s">
        <v>97</v>
      </c>
      <c r="H14" s="173" t="s">
        <v>172</v>
      </c>
      <c r="I14" s="194" t="str">
        <f t="shared" si="1"/>
        <v>ㄐ</v>
      </c>
      <c r="L14" s="161">
        <v>12</v>
      </c>
      <c r="M14" s="175" t="str">
        <f t="shared" si="2"/>
        <v>z</v>
      </c>
      <c r="N14" s="175" t="str">
        <f t="shared" si="3"/>
        <v>ㆡ</v>
      </c>
      <c r="Q14" s="161">
        <v>12</v>
      </c>
      <c r="R14" s="176" t="str">
        <f t="shared" si="4"/>
        <v>r</v>
      </c>
      <c r="S14" s="176" t="str">
        <f t="shared" si="5"/>
        <v>ㄐ</v>
      </c>
      <c r="W14" s="184" t="s">
        <v>547</v>
      </c>
      <c r="X14" s="164" t="s">
        <v>43</v>
      </c>
      <c r="Y14" s="177" t="s">
        <v>548</v>
      </c>
      <c r="Z14" s="178" t="s">
        <v>549</v>
      </c>
      <c r="AA14" s="179" t="s">
        <v>550</v>
      </c>
    </row>
    <row r="15" spans="1:27">
      <c r="E15" s="161">
        <v>13</v>
      </c>
      <c r="F15" s="180" t="str">
        <f t="shared" si="0"/>
        <v>chi</v>
      </c>
      <c r="G15" s="181" t="s">
        <v>61</v>
      </c>
      <c r="H15" s="182" t="s">
        <v>173</v>
      </c>
      <c r="I15" s="183" t="str">
        <f t="shared" si="1"/>
        <v>ㄑ</v>
      </c>
      <c r="L15" s="161">
        <v>13</v>
      </c>
      <c r="M15" s="175" t="str">
        <f t="shared" si="2"/>
        <v>s</v>
      </c>
      <c r="N15" s="175" t="str">
        <f t="shared" si="3"/>
        <v>ㄙ</v>
      </c>
      <c r="Q15" s="161">
        <v>13</v>
      </c>
      <c r="R15" s="176" t="str">
        <f t="shared" si="4"/>
        <v>f</v>
      </c>
      <c r="S15" s="176" t="str">
        <f t="shared" si="5"/>
        <v>ㄑ</v>
      </c>
      <c r="W15" s="184" t="s">
        <v>551</v>
      </c>
      <c r="X15" s="164" t="s">
        <v>71</v>
      </c>
      <c r="Y15" s="177" t="s">
        <v>552</v>
      </c>
      <c r="Z15" s="178" t="s">
        <v>553</v>
      </c>
      <c r="AA15" s="179" t="s">
        <v>554</v>
      </c>
    </row>
    <row r="16" spans="1:27">
      <c r="E16" s="161">
        <v>14</v>
      </c>
      <c r="F16" s="185" t="str">
        <f t="shared" si="0"/>
        <v>si</v>
      </c>
      <c r="G16" s="186" t="s">
        <v>56</v>
      </c>
      <c r="H16" s="187" t="s">
        <v>174</v>
      </c>
      <c r="I16" s="188" t="str">
        <f t="shared" si="1"/>
        <v>ㄒ</v>
      </c>
      <c r="L16" s="161">
        <v>14</v>
      </c>
      <c r="M16" s="175" t="str">
        <f t="shared" si="2"/>
        <v>h</v>
      </c>
      <c r="N16" s="175" t="str">
        <f t="shared" si="3"/>
        <v>ㄏ</v>
      </c>
      <c r="Q16" s="161">
        <v>14</v>
      </c>
      <c r="R16" s="176" t="str">
        <f t="shared" si="4"/>
        <v>v</v>
      </c>
      <c r="S16" s="176" t="str">
        <f t="shared" si="5"/>
        <v>ㄒ</v>
      </c>
      <c r="W16" s="184" t="s">
        <v>555</v>
      </c>
      <c r="X16" s="164" t="s">
        <v>96</v>
      </c>
      <c r="Y16" s="177" t="s">
        <v>556</v>
      </c>
      <c r="Z16" s="178" t="s">
        <v>556</v>
      </c>
      <c r="AA16" s="179" t="s">
        <v>557</v>
      </c>
    </row>
    <row r="17" spans="5:27">
      <c r="E17" s="161">
        <v>15</v>
      </c>
      <c r="F17" s="171" t="str">
        <f t="shared" si="0"/>
        <v>g</v>
      </c>
      <c r="G17" s="172" t="s">
        <v>45</v>
      </c>
      <c r="H17" s="173" t="s">
        <v>11</v>
      </c>
      <c r="I17" s="194" t="str">
        <f t="shared" si="1"/>
        <v>ㆣ</v>
      </c>
      <c r="L17" s="161">
        <v>15</v>
      </c>
      <c r="M17" s="175" t="str">
        <f t="shared" si="2"/>
        <v>i</v>
      </c>
      <c r="N17" s="175" t="str">
        <f t="shared" si="3"/>
        <v>ㄧ</v>
      </c>
      <c r="Q17" s="161">
        <v>15</v>
      </c>
      <c r="R17" s="176" t="str">
        <f t="shared" si="4"/>
        <v>t</v>
      </c>
      <c r="S17" s="176" t="str">
        <f t="shared" si="5"/>
        <v>ㆣ</v>
      </c>
      <c r="W17" s="189" t="s">
        <v>558</v>
      </c>
      <c r="X17" s="164" t="s">
        <v>44</v>
      </c>
      <c r="Y17" s="177" t="s">
        <v>45</v>
      </c>
      <c r="Z17" s="178" t="s">
        <v>45</v>
      </c>
      <c r="AA17" s="179" t="s">
        <v>300</v>
      </c>
    </row>
    <row r="18" spans="5:27">
      <c r="E18" s="161">
        <v>16</v>
      </c>
      <c r="F18" s="180" t="str">
        <f t="shared" si="0"/>
        <v>ng</v>
      </c>
      <c r="G18" s="181" t="s">
        <v>164</v>
      </c>
      <c r="H18" s="182" t="s">
        <v>45</v>
      </c>
      <c r="I18" s="183" t="str">
        <f t="shared" si="1"/>
        <v>ㄫ</v>
      </c>
      <c r="L18" s="161">
        <v>16</v>
      </c>
      <c r="M18" s="175" t="str">
        <f t="shared" si="2"/>
        <v>u</v>
      </c>
      <c r="N18" s="175" t="str">
        <f t="shared" si="3"/>
        <v>ㄨ</v>
      </c>
      <c r="Q18" s="161">
        <v>16</v>
      </c>
      <c r="R18" s="176" t="str">
        <f t="shared" si="4"/>
        <v>g</v>
      </c>
      <c r="S18" s="176" t="str">
        <f t="shared" si="5"/>
        <v>ㄫ</v>
      </c>
      <c r="W18" s="189" t="s">
        <v>559</v>
      </c>
      <c r="X18" s="164" t="s">
        <v>72</v>
      </c>
      <c r="Y18" s="177" t="s">
        <v>73</v>
      </c>
      <c r="Z18" s="178" t="s">
        <v>560</v>
      </c>
      <c r="AA18" s="179" t="s">
        <v>299</v>
      </c>
    </row>
    <row r="19" spans="5:27">
      <c r="E19" s="161">
        <v>17</v>
      </c>
      <c r="F19" s="185" t="str">
        <f t="shared" si="0"/>
        <v>ji</v>
      </c>
      <c r="G19" s="186" t="s">
        <v>165</v>
      </c>
      <c r="H19" s="187" t="s">
        <v>91</v>
      </c>
      <c r="I19" s="188" t="str">
        <f t="shared" si="1"/>
        <v>ㆢ</v>
      </c>
      <c r="L19" s="161">
        <v>17</v>
      </c>
      <c r="M19" s="175" t="str">
        <f t="shared" si="2"/>
        <v>a</v>
      </c>
      <c r="N19" s="175" t="str">
        <f t="shared" si="3"/>
        <v>ㄚ</v>
      </c>
      <c r="Q19" s="161">
        <v>17</v>
      </c>
      <c r="R19" s="176" t="str">
        <f t="shared" si="4"/>
        <v>b</v>
      </c>
      <c r="S19" s="176" t="str">
        <f t="shared" si="5"/>
        <v>ㆡ</v>
      </c>
      <c r="W19" s="189" t="s">
        <v>561</v>
      </c>
      <c r="X19" s="164" t="s">
        <v>105</v>
      </c>
      <c r="Y19" s="177" t="s">
        <v>211</v>
      </c>
      <c r="Z19" s="178" t="s">
        <v>562</v>
      </c>
      <c r="AA19" s="179" t="s">
        <v>563</v>
      </c>
    </row>
    <row r="20" spans="5:27">
      <c r="E20" s="161">
        <v>18</v>
      </c>
      <c r="F20" s="196" t="str">
        <f t="shared" si="0"/>
        <v>c</v>
      </c>
      <c r="G20" s="197" t="s">
        <v>166</v>
      </c>
      <c r="H20" s="198" t="s">
        <v>175</v>
      </c>
      <c r="I20" s="199" t="str">
        <f t="shared" si="1"/>
        <v>ㄗ</v>
      </c>
      <c r="L20" s="161">
        <v>18</v>
      </c>
      <c r="M20" s="175" t="str">
        <f t="shared" si="2"/>
        <v>o</v>
      </c>
      <c r="N20" s="175" t="str">
        <f t="shared" si="3"/>
        <v>ㆦ</v>
      </c>
      <c r="Q20" s="161">
        <v>18</v>
      </c>
      <c r="R20" s="200" t="str">
        <f t="shared" si="4"/>
        <v>y</v>
      </c>
      <c r="S20" s="200" t="str">
        <f t="shared" si="5"/>
        <v>ㄗ</v>
      </c>
      <c r="W20" s="189" t="s">
        <v>561</v>
      </c>
      <c r="X20" s="164" t="s">
        <v>106</v>
      </c>
      <c r="Y20" s="177" t="s">
        <v>211</v>
      </c>
      <c r="Z20" s="178" t="s">
        <v>165</v>
      </c>
      <c r="AA20" s="179" t="s">
        <v>295</v>
      </c>
    </row>
    <row r="21" spans="5:27">
      <c r="E21" s="161">
        <v>19</v>
      </c>
      <c r="F21" s="201" t="str">
        <f t="shared" si="0"/>
        <v>ch</v>
      </c>
      <c r="G21" s="202" t="s">
        <v>83</v>
      </c>
      <c r="H21" s="203" t="s">
        <v>95</v>
      </c>
      <c r="I21" s="204" t="str">
        <f t="shared" si="1"/>
        <v>ㄘ</v>
      </c>
      <c r="L21" s="161">
        <v>19</v>
      </c>
      <c r="M21" s="175" t="str">
        <f t="shared" si="2"/>
        <v>ø</v>
      </c>
      <c r="N21" s="175" t="str">
        <f t="shared" si="3"/>
        <v>ㄜ</v>
      </c>
      <c r="Q21" s="161">
        <v>19</v>
      </c>
      <c r="R21" s="200" t="str">
        <f t="shared" si="4"/>
        <v>h</v>
      </c>
      <c r="S21" s="200" t="str">
        <f t="shared" si="5"/>
        <v>ㄘ</v>
      </c>
      <c r="W21" s="184" t="s">
        <v>564</v>
      </c>
      <c r="X21" s="164" t="s">
        <v>46</v>
      </c>
      <c r="Y21" s="177" t="s">
        <v>546</v>
      </c>
      <c r="Z21" s="178" t="s">
        <v>166</v>
      </c>
      <c r="AA21" s="179" t="s">
        <v>297</v>
      </c>
    </row>
    <row r="22" spans="5:27">
      <c r="E22" s="161">
        <v>20</v>
      </c>
      <c r="F22" s="185" t="str">
        <f t="shared" si="0"/>
        <v>s</v>
      </c>
      <c r="G22" s="186" t="s">
        <v>99</v>
      </c>
      <c r="H22" s="187" t="s">
        <v>68</v>
      </c>
      <c r="I22" s="188" t="str">
        <f t="shared" si="1"/>
        <v>ㄙ</v>
      </c>
      <c r="L22" s="161">
        <v>20</v>
      </c>
      <c r="M22" s="175" t="str">
        <f t="shared" si="2"/>
        <v>e</v>
      </c>
      <c r="N22" s="175" t="str">
        <f t="shared" si="3"/>
        <v>ㆤ</v>
      </c>
      <c r="Q22" s="161">
        <v>20</v>
      </c>
      <c r="R22" s="176" t="str">
        <f t="shared" si="4"/>
        <v>n</v>
      </c>
      <c r="S22" s="176" t="str">
        <f t="shared" si="5"/>
        <v>ㄙ</v>
      </c>
      <c r="W22" s="184" t="s">
        <v>565</v>
      </c>
      <c r="X22" s="164" t="s">
        <v>74</v>
      </c>
      <c r="Y22" s="177" t="s">
        <v>566</v>
      </c>
      <c r="Z22" s="178" t="s">
        <v>83</v>
      </c>
      <c r="AA22" s="179" t="s">
        <v>296</v>
      </c>
    </row>
    <row r="23" spans="5:27">
      <c r="E23" s="161">
        <v>21</v>
      </c>
      <c r="F23" s="205" t="str">
        <f t="shared" si="0"/>
        <v>i</v>
      </c>
      <c r="G23" s="206" t="s">
        <v>49</v>
      </c>
      <c r="H23" s="206" t="s">
        <v>77</v>
      </c>
      <c r="I23" s="207" t="str">
        <f t="shared" si="1"/>
        <v>ㄧ</v>
      </c>
      <c r="L23" s="161">
        <v>21</v>
      </c>
      <c r="M23" s="175" t="str">
        <f t="shared" si="2"/>
        <v>I</v>
      </c>
      <c r="N23" s="175" t="str">
        <f t="shared" si="3"/>
        <v>ㄞ</v>
      </c>
      <c r="Q23" s="161">
        <v>21</v>
      </c>
      <c r="R23" s="176" t="str">
        <f t="shared" si="4"/>
        <v>u</v>
      </c>
      <c r="S23" s="176" t="str">
        <f t="shared" si="5"/>
        <v>ㄧ</v>
      </c>
      <c r="W23" s="184" t="s">
        <v>567</v>
      </c>
      <c r="X23" s="164" t="s">
        <v>98</v>
      </c>
      <c r="Y23" s="177" t="s">
        <v>99</v>
      </c>
      <c r="Z23" s="178" t="s">
        <v>99</v>
      </c>
      <c r="AA23" s="179" t="s">
        <v>294</v>
      </c>
    </row>
    <row r="24" spans="5:27">
      <c r="E24" s="161">
        <v>22</v>
      </c>
      <c r="F24" s="205" t="str">
        <f t="shared" si="0"/>
        <v>u</v>
      </c>
      <c r="G24" s="206" t="s">
        <v>77</v>
      </c>
      <c r="H24" s="206" t="s">
        <v>97</v>
      </c>
      <c r="I24" s="207" t="str">
        <f t="shared" si="1"/>
        <v>ㄨ</v>
      </c>
      <c r="L24" s="161">
        <v>22</v>
      </c>
      <c r="M24" s="175" t="str">
        <f t="shared" si="2"/>
        <v>U</v>
      </c>
      <c r="N24" s="175" t="str">
        <f t="shared" si="3"/>
        <v>ㄠ</v>
      </c>
      <c r="Q24" s="161">
        <v>22</v>
      </c>
      <c r="R24" s="176" t="str">
        <f t="shared" si="4"/>
        <v>j</v>
      </c>
      <c r="S24" s="176" t="str">
        <f t="shared" si="5"/>
        <v>ㄨ</v>
      </c>
      <c r="W24" s="184" t="s">
        <v>568</v>
      </c>
      <c r="X24" s="164" t="s">
        <v>48</v>
      </c>
      <c r="Y24" s="208" t="s">
        <v>49</v>
      </c>
      <c r="Z24" s="209" t="s">
        <v>49</v>
      </c>
      <c r="AA24" s="210" t="s">
        <v>276</v>
      </c>
    </row>
    <row r="25" spans="5:27">
      <c r="E25" s="161">
        <v>23</v>
      </c>
      <c r="F25" s="205" t="str">
        <f t="shared" si="0"/>
        <v>m</v>
      </c>
      <c r="G25" s="206" t="s">
        <v>85</v>
      </c>
      <c r="H25" s="206" t="s">
        <v>66</v>
      </c>
      <c r="I25" s="207" t="str">
        <f t="shared" si="1"/>
        <v>ㆬ</v>
      </c>
      <c r="L25" s="161">
        <v>23</v>
      </c>
      <c r="M25" s="175" t="str">
        <f t="shared" si="2"/>
        <v>B</v>
      </c>
      <c r="N25" s="175" t="str">
        <f t="shared" si="3"/>
        <v>ㆬ</v>
      </c>
      <c r="Q25" s="161">
        <v>23</v>
      </c>
      <c r="R25" s="176" t="str">
        <f t="shared" si="4"/>
        <v>m</v>
      </c>
      <c r="S25" s="176" t="str">
        <f t="shared" si="5"/>
        <v>ㆬ</v>
      </c>
      <c r="W25" s="184" t="s">
        <v>569</v>
      </c>
      <c r="X25" s="164" t="s">
        <v>76</v>
      </c>
      <c r="Y25" s="208" t="s">
        <v>77</v>
      </c>
      <c r="Z25" s="209" t="s">
        <v>77</v>
      </c>
      <c r="AA25" s="210" t="s">
        <v>274</v>
      </c>
    </row>
    <row r="26" spans="5:27">
      <c r="E26" s="161">
        <v>24</v>
      </c>
      <c r="F26" s="205" t="str">
        <f t="shared" si="0"/>
        <v/>
      </c>
      <c r="G26" s="206" t="s">
        <v>21</v>
      </c>
      <c r="H26" s="206" t="s">
        <v>176</v>
      </c>
      <c r="I26" s="207" t="str">
        <f t="shared" si="1"/>
        <v/>
      </c>
      <c r="L26" s="161">
        <v>24</v>
      </c>
      <c r="M26" s="175" t="str">
        <f t="shared" si="2"/>
        <v>D</v>
      </c>
      <c r="N26" s="175" t="str">
        <f t="shared" si="3"/>
        <v>ㄣ</v>
      </c>
      <c r="Q26" s="161">
        <v>24</v>
      </c>
      <c r="R26" s="176" t="str">
        <f t="shared" si="4"/>
        <v>8</v>
      </c>
      <c r="S26" s="176" t="str">
        <f t="shared" si="5"/>
        <v>ㄚ</v>
      </c>
      <c r="W26" s="184" t="s">
        <v>570</v>
      </c>
      <c r="X26" s="164" t="s">
        <v>100</v>
      </c>
      <c r="Y26" s="208" t="s">
        <v>66</v>
      </c>
      <c r="Z26" s="209" t="s">
        <v>85</v>
      </c>
      <c r="AA26" s="210" t="s">
        <v>268</v>
      </c>
    </row>
    <row r="27" spans="5:27">
      <c r="E27" s="161">
        <v>25</v>
      </c>
      <c r="F27" s="205" t="str">
        <f t="shared" si="0"/>
        <v>oo</v>
      </c>
      <c r="G27" s="206" t="s">
        <v>79</v>
      </c>
      <c r="H27" s="206" t="s">
        <v>49</v>
      </c>
      <c r="I27" s="207" t="str">
        <f t="shared" si="1"/>
        <v>ㆦ</v>
      </c>
      <c r="L27" s="161">
        <v>25</v>
      </c>
      <c r="M27" s="175" t="str">
        <f t="shared" si="2"/>
        <v>G</v>
      </c>
      <c r="N27" s="175" t="str">
        <f t="shared" si="3"/>
        <v>ㆭ</v>
      </c>
      <c r="Q27" s="161">
        <v>25</v>
      </c>
      <c r="R27" s="176" t="str">
        <f t="shared" si="4"/>
        <v>i</v>
      </c>
      <c r="S27" s="176" t="str">
        <f t="shared" si="5"/>
        <v>ㆦ</v>
      </c>
      <c r="W27" s="164">
        <v>8</v>
      </c>
      <c r="X27" s="164" t="s">
        <v>20</v>
      </c>
      <c r="Y27" s="208" t="s">
        <v>21</v>
      </c>
      <c r="Z27" s="209" t="s">
        <v>21</v>
      </c>
      <c r="AA27" s="210" t="s">
        <v>278</v>
      </c>
    </row>
    <row r="28" spans="5:27">
      <c r="E28" s="161">
        <v>26</v>
      </c>
      <c r="F28" s="205" t="str">
        <f t="shared" si="0"/>
        <v>o</v>
      </c>
      <c r="G28" s="206" t="s">
        <v>571</v>
      </c>
      <c r="H28" s="206" t="s">
        <v>42</v>
      </c>
      <c r="I28" s="207" t="str">
        <f t="shared" si="1"/>
        <v>ㄜ</v>
      </c>
      <c r="L28" s="161">
        <v>26</v>
      </c>
      <c r="M28" s="175" t="str">
        <f t="shared" si="2"/>
        <v>N</v>
      </c>
      <c r="N28" s="175" t="str">
        <f t="shared" si="3"/>
        <v>ｎ</v>
      </c>
      <c r="Q28" s="161">
        <v>26</v>
      </c>
      <c r="R28" s="176" t="str">
        <f t="shared" si="4"/>
        <v>k</v>
      </c>
      <c r="S28" s="176" t="str">
        <f t="shared" si="5"/>
        <v>ㄜ</v>
      </c>
      <c r="W28" s="184" t="s">
        <v>572</v>
      </c>
      <c r="X28" s="164" t="s">
        <v>50</v>
      </c>
      <c r="Y28" s="208" t="s">
        <v>51</v>
      </c>
      <c r="Z28" s="209" t="s">
        <v>79</v>
      </c>
      <c r="AA28" s="210" t="s">
        <v>271</v>
      </c>
    </row>
    <row r="29" spans="5:27">
      <c r="E29" s="161">
        <v>27</v>
      </c>
      <c r="F29" s="205" t="str">
        <f t="shared" si="0"/>
        <v>am</v>
      </c>
      <c r="G29" s="206" t="s">
        <v>87</v>
      </c>
      <c r="H29" s="206" t="s">
        <v>180</v>
      </c>
      <c r="I29" s="207" t="str">
        <f t="shared" si="1"/>
        <v>ㆰ</v>
      </c>
      <c r="N29" s="161"/>
      <c r="Q29" s="161">
        <v>27</v>
      </c>
      <c r="R29" s="176" t="str">
        <f t="shared" si="4"/>
        <v>,</v>
      </c>
      <c r="S29" s="176" t="str">
        <f t="shared" si="5"/>
        <v>ㆰ</v>
      </c>
      <c r="W29" s="184" t="s">
        <v>573</v>
      </c>
      <c r="X29" s="164" t="s">
        <v>78</v>
      </c>
      <c r="Y29" s="208" t="s">
        <v>79</v>
      </c>
      <c r="Z29" s="209" t="s">
        <v>571</v>
      </c>
      <c r="AA29" s="210" t="s">
        <v>269</v>
      </c>
    </row>
    <row r="30" spans="5:27">
      <c r="E30" s="161">
        <v>28</v>
      </c>
      <c r="F30" s="205" t="str">
        <f t="shared" si="0"/>
        <v/>
      </c>
      <c r="G30" s="206" t="s">
        <v>31</v>
      </c>
      <c r="H30" s="206" t="s">
        <v>178</v>
      </c>
      <c r="I30" s="207" t="str">
        <f t="shared" si="1"/>
        <v/>
      </c>
      <c r="N30" s="161"/>
      <c r="Q30" s="161">
        <v>28</v>
      </c>
      <c r="R30" s="176" t="str">
        <f t="shared" si="4"/>
        <v>9</v>
      </c>
      <c r="S30" s="176" t="str">
        <f t="shared" si="5"/>
        <v>ㄞ</v>
      </c>
      <c r="W30" s="184">
        <v>9</v>
      </c>
      <c r="X30" s="164" t="s">
        <v>22</v>
      </c>
      <c r="Y30" s="208" t="s">
        <v>372</v>
      </c>
      <c r="Z30" s="209" t="s">
        <v>31</v>
      </c>
      <c r="AA30" s="210" t="s">
        <v>574</v>
      </c>
    </row>
    <row r="31" spans="5:27">
      <c r="E31" s="161">
        <v>29</v>
      </c>
      <c r="F31" s="205" t="str">
        <f t="shared" si="0"/>
        <v>e</v>
      </c>
      <c r="G31" s="206" t="s">
        <v>53</v>
      </c>
      <c r="H31" s="206" t="s">
        <v>79</v>
      </c>
      <c r="I31" s="207" t="str">
        <f t="shared" si="1"/>
        <v>ㆤ</v>
      </c>
      <c r="N31" s="161"/>
      <c r="Q31" s="161">
        <v>29</v>
      </c>
      <c r="R31" s="176" t="str">
        <f t="shared" si="4"/>
        <v>o</v>
      </c>
      <c r="S31" s="176" t="str">
        <f t="shared" si="5"/>
        <v>ㆤ</v>
      </c>
      <c r="W31" s="184" t="s">
        <v>575</v>
      </c>
      <c r="X31" s="164" t="s">
        <v>52</v>
      </c>
      <c r="Y31" s="208" t="s">
        <v>53</v>
      </c>
      <c r="Z31" s="209" t="s">
        <v>53</v>
      </c>
      <c r="AA31" s="210" t="s">
        <v>265</v>
      </c>
    </row>
    <row r="32" spans="5:27">
      <c r="E32" s="161">
        <v>30</v>
      </c>
      <c r="F32" s="205" t="str">
        <f t="shared" si="0"/>
        <v>au</v>
      </c>
      <c r="G32" s="206" t="s">
        <v>30</v>
      </c>
      <c r="H32" s="206" t="s">
        <v>93</v>
      </c>
      <c r="I32" s="207" t="str">
        <f t="shared" si="1"/>
        <v>ㄠ</v>
      </c>
      <c r="N32" s="161"/>
      <c r="Q32" s="161">
        <v>30</v>
      </c>
      <c r="R32" s="176" t="str">
        <f t="shared" si="4"/>
        <v>l</v>
      </c>
      <c r="S32" s="176" t="str">
        <f t="shared" si="5"/>
        <v>ㄠ</v>
      </c>
      <c r="W32" s="189" t="s">
        <v>576</v>
      </c>
      <c r="X32" s="164" t="s">
        <v>80</v>
      </c>
      <c r="Y32" s="208" t="s">
        <v>375</v>
      </c>
      <c r="Z32" s="209" t="s">
        <v>30</v>
      </c>
      <c r="AA32" s="210" t="s">
        <v>577</v>
      </c>
    </row>
    <row r="33" spans="5:27">
      <c r="E33" s="161">
        <v>31</v>
      </c>
      <c r="F33" s="205" t="str">
        <f t="shared" si="0"/>
        <v>ong</v>
      </c>
      <c r="G33" s="206" t="s">
        <v>29</v>
      </c>
      <c r="H33" s="206" t="s">
        <v>578</v>
      </c>
      <c r="I33" s="207" t="str">
        <f t="shared" si="1"/>
        <v>ㆲ</v>
      </c>
      <c r="N33" s="161"/>
      <c r="Q33" s="161">
        <v>31</v>
      </c>
      <c r="R33" s="176" t="str">
        <f t="shared" si="4"/>
        <v>.</v>
      </c>
      <c r="S33" s="176" t="str">
        <f t="shared" si="5"/>
        <v>ㆲ</v>
      </c>
      <c r="W33" s="211" t="s">
        <v>579</v>
      </c>
      <c r="X33" s="164" t="s">
        <v>101</v>
      </c>
      <c r="Y33" s="208" t="s">
        <v>515</v>
      </c>
      <c r="Z33" s="209" t="s">
        <v>514</v>
      </c>
      <c r="AA33" s="210" t="s">
        <v>580</v>
      </c>
    </row>
    <row r="34" spans="5:27">
      <c r="E34" s="161">
        <v>32</v>
      </c>
      <c r="F34" s="205" t="str">
        <f t="shared" si="0"/>
        <v/>
      </c>
      <c r="G34" s="206" t="s">
        <v>63</v>
      </c>
      <c r="H34" s="206" t="s">
        <v>182</v>
      </c>
      <c r="I34" s="207" t="str">
        <f t="shared" si="1"/>
        <v/>
      </c>
      <c r="N34" s="161"/>
      <c r="Q34" s="161">
        <v>32</v>
      </c>
      <c r="R34" s="176" t="str">
        <f t="shared" si="4"/>
        <v>0</v>
      </c>
      <c r="S34" s="176" t="str">
        <f t="shared" si="5"/>
        <v>ㄢ</v>
      </c>
      <c r="W34" s="189">
        <v>0</v>
      </c>
      <c r="X34" s="164" t="s">
        <v>23</v>
      </c>
      <c r="Y34" s="208" t="s">
        <v>509</v>
      </c>
      <c r="Z34" s="209" t="s">
        <v>510</v>
      </c>
      <c r="AA34" s="210" t="s">
        <v>581</v>
      </c>
    </row>
    <row r="35" spans="5:27">
      <c r="E35" s="161">
        <v>33</v>
      </c>
      <c r="F35" s="205" t="str">
        <f t="shared" si="0"/>
        <v>-n</v>
      </c>
      <c r="G35" s="206" t="s">
        <v>57</v>
      </c>
      <c r="H35" s="206" t="s">
        <v>9</v>
      </c>
      <c r="I35" s="207" t="str">
        <f t="shared" si="1"/>
        <v>ㄣ</v>
      </c>
      <c r="N35" s="161"/>
      <c r="Q35" s="161">
        <v>33</v>
      </c>
      <c r="R35" s="176" t="str">
        <f t="shared" si="4"/>
        <v>p</v>
      </c>
      <c r="S35" s="176" t="str">
        <f t="shared" si="5"/>
        <v>ㄣ</v>
      </c>
      <c r="W35" s="184" t="s">
        <v>582</v>
      </c>
      <c r="X35" s="164" t="s">
        <v>54</v>
      </c>
      <c r="Y35" s="208" t="s">
        <v>232</v>
      </c>
      <c r="Z35" s="209" t="s">
        <v>57</v>
      </c>
      <c r="AA35" s="210" t="s">
        <v>267</v>
      </c>
    </row>
    <row r="36" spans="5:27">
      <c r="E36" s="161">
        <v>34</v>
      </c>
      <c r="F36" s="205" t="str">
        <f t="shared" si="0"/>
        <v>ang</v>
      </c>
      <c r="G36" s="206" t="s">
        <v>24</v>
      </c>
      <c r="H36" s="206" t="s">
        <v>183</v>
      </c>
      <c r="I36" s="207" t="str">
        <f t="shared" si="1"/>
        <v>ㄤ</v>
      </c>
      <c r="N36" s="161"/>
      <c r="Q36" s="161">
        <v>34</v>
      </c>
      <c r="R36" s="176" t="str">
        <f t="shared" si="4"/>
        <v>;</v>
      </c>
      <c r="S36" s="176" t="str">
        <f t="shared" si="5"/>
        <v>ㄤ</v>
      </c>
      <c r="W36" s="184" t="s">
        <v>583</v>
      </c>
      <c r="X36" s="164" t="s">
        <v>81</v>
      </c>
      <c r="Y36" s="208" t="s">
        <v>512</v>
      </c>
      <c r="Z36" s="209" t="s">
        <v>511</v>
      </c>
      <c r="AA36" s="210" t="s">
        <v>584</v>
      </c>
    </row>
    <row r="37" spans="5:27">
      <c r="E37" s="161">
        <v>35</v>
      </c>
      <c r="F37" s="205" t="str">
        <f t="shared" si="0"/>
        <v>-ng</v>
      </c>
      <c r="G37" s="206" t="s">
        <v>59</v>
      </c>
      <c r="H37" s="206" t="s">
        <v>184</v>
      </c>
      <c r="I37" s="207" t="str">
        <f t="shared" si="1"/>
        <v>ㄥ</v>
      </c>
      <c r="N37" s="161"/>
      <c r="Q37" s="161">
        <v>35</v>
      </c>
      <c r="R37" s="176" t="str">
        <f t="shared" si="4"/>
        <v>/</v>
      </c>
      <c r="S37" s="176" t="str">
        <f t="shared" si="5"/>
        <v>ㆭ</v>
      </c>
      <c r="W37" s="211" t="s">
        <v>585</v>
      </c>
      <c r="X37" s="164" t="s">
        <v>115</v>
      </c>
      <c r="Y37" s="208" t="s">
        <v>217</v>
      </c>
      <c r="Z37" s="209" t="s">
        <v>513</v>
      </c>
      <c r="AA37" s="210" t="s">
        <v>586</v>
      </c>
    </row>
    <row r="38" spans="5:27">
      <c r="E38" s="161">
        <v>36</v>
      </c>
      <c r="F38" s="205" t="str">
        <f t="shared" si="0"/>
        <v/>
      </c>
      <c r="G38" s="206" t="s">
        <v>86</v>
      </c>
      <c r="H38" s="206" t="s">
        <v>185</v>
      </c>
      <c r="I38" s="207" t="str">
        <f t="shared" si="1"/>
        <v/>
      </c>
      <c r="N38" s="161"/>
      <c r="Q38" s="161">
        <v>36</v>
      </c>
      <c r="R38" s="176" t="str">
        <f t="shared" si="4"/>
        <v>-</v>
      </c>
      <c r="S38" s="176" t="str">
        <f t="shared" si="5"/>
        <v>ｎ</v>
      </c>
      <c r="W38" s="211" t="s">
        <v>585</v>
      </c>
      <c r="X38" s="164" t="s">
        <v>102</v>
      </c>
      <c r="Y38" s="208" t="s">
        <v>73</v>
      </c>
      <c r="Z38" s="209" t="s">
        <v>59</v>
      </c>
      <c r="AA38" s="210" t="s">
        <v>266</v>
      </c>
    </row>
    <row r="39" spans="5:27">
      <c r="E39" s="161">
        <v>37</v>
      </c>
      <c r="F39" s="205" t="str">
        <f t="shared" si="0"/>
        <v/>
      </c>
      <c r="G39" s="206" t="s">
        <v>168</v>
      </c>
      <c r="H39" s="206" t="s">
        <v>118</v>
      </c>
      <c r="I39" s="207" t="str">
        <f t="shared" si="1"/>
        <v/>
      </c>
      <c r="N39" s="161"/>
      <c r="Q39" s="161">
        <v>37</v>
      </c>
      <c r="R39" s="176" t="str">
        <f t="shared" si="4"/>
        <v>4</v>
      </c>
      <c r="S39" s="176" t="str">
        <f t="shared" si="5"/>
        <v>ˋ</v>
      </c>
      <c r="W39" s="189" t="s">
        <v>587</v>
      </c>
      <c r="X39" s="164" t="s">
        <v>113</v>
      </c>
      <c r="Y39" s="208" t="s">
        <v>503</v>
      </c>
      <c r="Z39" s="209" t="s">
        <v>504</v>
      </c>
      <c r="AA39" s="210" t="s">
        <v>588</v>
      </c>
    </row>
    <row r="40" spans="5:27">
      <c r="E40" s="161">
        <v>38</v>
      </c>
      <c r="F40" s="205" t="str">
        <f t="shared" si="0"/>
        <v/>
      </c>
      <c r="G40" s="206" t="s">
        <v>169</v>
      </c>
      <c r="H40" s="206" t="s">
        <v>186</v>
      </c>
      <c r="I40" s="207" t="str">
        <f t="shared" si="1"/>
        <v/>
      </c>
      <c r="N40" s="161"/>
      <c r="Q40" s="161">
        <v>38</v>
      </c>
      <c r="R40" s="176" t="str">
        <f t="shared" si="4"/>
        <v>3</v>
      </c>
      <c r="S40" s="176" t="str">
        <f t="shared" si="5"/>
        <v>˪</v>
      </c>
      <c r="W40" s="184" t="s">
        <v>587</v>
      </c>
      <c r="X40" s="164" t="s">
        <v>114</v>
      </c>
      <c r="Y40" s="208" t="s">
        <v>506</v>
      </c>
      <c r="Z40" s="209" t="s">
        <v>505</v>
      </c>
      <c r="AA40" s="210" t="s">
        <v>589</v>
      </c>
    </row>
    <row r="41" spans="5:27">
      <c r="E41" s="161">
        <v>39</v>
      </c>
      <c r="F41" s="205" t="str">
        <f t="shared" si="0"/>
        <v/>
      </c>
      <c r="G41" s="206" t="s">
        <v>187</v>
      </c>
      <c r="H41" s="206" t="s">
        <v>187</v>
      </c>
      <c r="I41" s="207" t="str">
        <f t="shared" si="1"/>
        <v/>
      </c>
      <c r="N41" s="161"/>
      <c r="Q41" s="161">
        <v>39</v>
      </c>
      <c r="R41" s="176" t="str">
        <f t="shared" si="4"/>
        <v>6</v>
      </c>
      <c r="S41" s="176" t="str">
        <f t="shared" si="5"/>
        <v>ˊ</v>
      </c>
      <c r="W41" s="189"/>
      <c r="X41" s="164" t="s">
        <v>107</v>
      </c>
      <c r="Y41" s="208" t="s">
        <v>212</v>
      </c>
      <c r="Z41" s="209" t="s">
        <v>288</v>
      </c>
      <c r="AA41" s="210" t="s">
        <v>277</v>
      </c>
    </row>
    <row r="42" spans="5:27">
      <c r="E42" s="161">
        <v>40</v>
      </c>
      <c r="F42" s="205" t="str">
        <f t="shared" si="0"/>
        <v/>
      </c>
      <c r="G42" s="206" t="s">
        <v>189</v>
      </c>
      <c r="H42" s="206" t="s">
        <v>188</v>
      </c>
      <c r="I42" s="207" t="str">
        <f t="shared" si="1"/>
        <v/>
      </c>
      <c r="N42" s="161"/>
      <c r="Q42" s="161">
        <v>40</v>
      </c>
      <c r="R42" s="176" t="str">
        <f t="shared" si="4"/>
        <v>5</v>
      </c>
      <c r="S42" s="176" t="str">
        <f t="shared" si="5"/>
        <v>˫</v>
      </c>
      <c r="W42" s="184"/>
      <c r="X42" s="164" t="s">
        <v>116</v>
      </c>
      <c r="Y42" s="208" t="s">
        <v>215</v>
      </c>
      <c r="Z42" s="209" t="s">
        <v>287</v>
      </c>
      <c r="AA42" s="210" t="s">
        <v>275</v>
      </c>
    </row>
    <row r="43" spans="5:27">
      <c r="E43" s="161">
        <v>41</v>
      </c>
      <c r="F43" s="205" t="str">
        <f t="shared" si="0"/>
        <v/>
      </c>
      <c r="G43" s="206" t="s">
        <v>190</v>
      </c>
      <c r="H43" s="206" t="s">
        <v>189</v>
      </c>
      <c r="I43" s="207" t="str">
        <f t="shared" si="1"/>
        <v/>
      </c>
      <c r="N43" s="161"/>
      <c r="Q43" s="161">
        <v>41</v>
      </c>
      <c r="R43" s="176" t="str">
        <f t="shared" si="4"/>
        <v>7</v>
      </c>
      <c r="S43" s="176" t="str">
        <f t="shared" si="5"/>
        <v>．</v>
      </c>
      <c r="W43" s="184"/>
      <c r="X43" s="164" t="s">
        <v>117</v>
      </c>
      <c r="Y43" s="208" t="s">
        <v>216</v>
      </c>
      <c r="Z43" s="209" t="s">
        <v>286</v>
      </c>
      <c r="AA43" s="210" t="s">
        <v>273</v>
      </c>
    </row>
    <row r="44" spans="5:27">
      <c r="E44" s="161">
        <v>42</v>
      </c>
      <c r="F44" s="205" t="str">
        <f t="shared" si="0"/>
        <v/>
      </c>
      <c r="G44" s="206" t="s">
        <v>182</v>
      </c>
      <c r="H44" s="206" t="s">
        <v>190</v>
      </c>
      <c r="I44" s="207" t="str">
        <f t="shared" si="1"/>
        <v/>
      </c>
      <c r="N44" s="161"/>
      <c r="S44" s="162"/>
      <c r="W44" s="184"/>
      <c r="X44" s="164" t="s">
        <v>110</v>
      </c>
      <c r="Y44" s="208" t="s">
        <v>214</v>
      </c>
      <c r="Z44" s="209" t="s">
        <v>285</v>
      </c>
      <c r="AA44" s="210" t="s">
        <v>272</v>
      </c>
    </row>
    <row r="45" spans="5:27">
      <c r="N45" s="161"/>
      <c r="S45" s="162"/>
      <c r="W45" s="184"/>
      <c r="X45" s="164" t="s">
        <v>108</v>
      </c>
      <c r="Y45" s="208" t="s">
        <v>213</v>
      </c>
      <c r="Z45" s="209" t="s">
        <v>284</v>
      </c>
      <c r="AA45" s="210" t="s">
        <v>270</v>
      </c>
    </row>
    <row r="46" spans="5:27">
      <c r="W46" s="184"/>
      <c r="X46" s="164" t="s">
        <v>111</v>
      </c>
      <c r="Y46" s="208" t="s">
        <v>436</v>
      </c>
      <c r="Z46" s="209" t="s">
        <v>435</v>
      </c>
      <c r="AA46" s="210" t="s">
        <v>590</v>
      </c>
    </row>
    <row r="47" spans="5:27">
      <c r="W47" s="184"/>
      <c r="X47" s="164" t="s">
        <v>112</v>
      </c>
      <c r="Y47" s="208" t="s">
        <v>443</v>
      </c>
      <c r="Z47" s="209" t="s">
        <v>442</v>
      </c>
      <c r="AA47" s="210" t="s">
        <v>591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56" customWidth="1"/>
    <col min="2" max="2" width="28.8984375" style="56" customWidth="1"/>
    <col min="3" max="47" width="8.69921875" style="56" customWidth="1"/>
    <col min="48" max="16384" width="10.8984375" style="56"/>
  </cols>
  <sheetData>
    <row r="1" spans="1:47" ht="17.100000000000001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602"/>
      <c r="AR1" s="602"/>
      <c r="AS1" s="58"/>
      <c r="AT1" s="58"/>
      <c r="AU1" s="58"/>
    </row>
    <row r="2" spans="1:47" s="57" customFormat="1" ht="38.25">
      <c r="B2" s="63" t="s">
        <v>222</v>
      </c>
    </row>
    <row r="3" spans="1:47" s="57" customFormat="1" ht="25.5" customHeight="1">
      <c r="B3" s="88" t="s">
        <v>221</v>
      </c>
      <c r="C3" s="87" cm="1">
        <f t="array" ref="C3" xml:space="preserve"> COLUMN() - COLUMN($B:$B)</f>
        <v>1</v>
      </c>
      <c r="D3" s="87" cm="1">
        <f t="array" ref="D3" xml:space="preserve"> COLUMN() - COLUMN($B:$B)</f>
        <v>2</v>
      </c>
      <c r="E3" s="87" cm="1">
        <f t="array" ref="E3" xml:space="preserve"> COLUMN() - COLUMN($B:$B)</f>
        <v>3</v>
      </c>
      <c r="F3" s="87" cm="1">
        <f t="array" ref="F3" xml:space="preserve"> COLUMN() - COLUMN($B:$B)</f>
        <v>4</v>
      </c>
      <c r="G3" s="87" cm="1">
        <f t="array" ref="G3" xml:space="preserve"> COLUMN() - COLUMN($B:$B)</f>
        <v>5</v>
      </c>
      <c r="H3" s="87" cm="1">
        <f t="array" ref="H3" xml:space="preserve"> COLUMN() - COLUMN($B:$B)</f>
        <v>6</v>
      </c>
      <c r="I3" s="87" cm="1">
        <f t="array" ref="I3" xml:space="preserve"> COLUMN() - COLUMN($B:$B)</f>
        <v>7</v>
      </c>
      <c r="J3" s="87" cm="1">
        <f t="array" ref="J3" xml:space="preserve"> COLUMN() - COLUMN($B:$B)</f>
        <v>8</v>
      </c>
      <c r="K3" s="87" cm="1">
        <f t="array" ref="K3" xml:space="preserve"> COLUMN() - COLUMN($B:$B)</f>
        <v>9</v>
      </c>
      <c r="L3" s="87" cm="1">
        <f t="array" ref="L3" xml:space="preserve"> COLUMN() - COLUMN($B:$B)</f>
        <v>10</v>
      </c>
      <c r="M3" s="87" cm="1">
        <f t="array" ref="M3" xml:space="preserve"> COLUMN() - COLUMN($B:$B)</f>
        <v>11</v>
      </c>
      <c r="N3" s="87" cm="1">
        <f t="array" ref="N3" xml:space="preserve"> COLUMN() - COLUMN($B:$B)</f>
        <v>12</v>
      </c>
      <c r="O3" s="87" cm="1">
        <f t="array" ref="O3" xml:space="preserve"> COLUMN() - COLUMN($B:$B)</f>
        <v>13</v>
      </c>
      <c r="P3" s="87" cm="1">
        <f t="array" ref="P3" xml:space="preserve"> COLUMN() - COLUMN($B:$B)</f>
        <v>14</v>
      </c>
      <c r="Q3" s="87" cm="1">
        <f t="array" ref="Q3" xml:space="preserve"> COLUMN() - COLUMN($B:$B)</f>
        <v>15</v>
      </c>
      <c r="R3" s="87" cm="1">
        <f t="array" ref="R3" xml:space="preserve"> COLUMN() - COLUMN($B:$B)</f>
        <v>16</v>
      </c>
      <c r="S3" s="87" cm="1">
        <f t="array" ref="S3" xml:space="preserve"> COLUMN() - COLUMN($B:$B)</f>
        <v>17</v>
      </c>
      <c r="T3" s="87" cm="1">
        <f t="array" ref="T3" xml:space="preserve"> COLUMN() - COLUMN($B:$B)</f>
        <v>18</v>
      </c>
      <c r="U3" s="87" cm="1">
        <f t="array" ref="U3" xml:space="preserve"> COLUMN() - COLUMN($B:$B)</f>
        <v>19</v>
      </c>
      <c r="V3" s="87" cm="1">
        <f t="array" ref="V3" xml:space="preserve"> COLUMN() - COLUMN($B:$B)</f>
        <v>20</v>
      </c>
      <c r="W3" s="87" cm="1">
        <f t="array" ref="W3" xml:space="preserve"> COLUMN() - COLUMN($B:$B)</f>
        <v>21</v>
      </c>
      <c r="X3" s="87" cm="1">
        <f t="array" ref="X3" xml:space="preserve"> COLUMN() - COLUMN($B:$B)</f>
        <v>22</v>
      </c>
      <c r="Y3" s="87" cm="1">
        <f t="array" ref="Y3" xml:space="preserve"> COLUMN() - COLUMN($B:$B)</f>
        <v>23</v>
      </c>
      <c r="Z3" s="87" cm="1">
        <f t="array" ref="Z3" xml:space="preserve"> COLUMN() - COLUMN($B:$B)</f>
        <v>24</v>
      </c>
      <c r="AA3" s="87" cm="1">
        <f t="array" ref="AA3" xml:space="preserve"> COLUMN() - COLUMN($B:$B)</f>
        <v>25</v>
      </c>
      <c r="AB3" s="87" cm="1">
        <f t="array" ref="AB3" xml:space="preserve"> COLUMN() - COLUMN($B:$B)</f>
        <v>26</v>
      </c>
      <c r="AC3" s="87" cm="1">
        <f t="array" ref="AC3" xml:space="preserve"> COLUMN() - COLUMN($B:$B)</f>
        <v>27</v>
      </c>
      <c r="AD3" s="87" cm="1">
        <f t="array" ref="AD3" xml:space="preserve"> COLUMN() - COLUMN($B:$B)</f>
        <v>28</v>
      </c>
      <c r="AE3" s="87" cm="1">
        <f t="array" ref="AE3" xml:space="preserve"> COLUMN() - COLUMN($B:$B)</f>
        <v>29</v>
      </c>
      <c r="AF3" s="87" cm="1">
        <f t="array" ref="AF3" xml:space="preserve"> COLUMN() - COLUMN($B:$B)</f>
        <v>30</v>
      </c>
      <c r="AG3" s="87" cm="1">
        <f t="array" ref="AG3" xml:space="preserve"> COLUMN() - COLUMN($B:$B)</f>
        <v>31</v>
      </c>
      <c r="AH3" s="87" cm="1">
        <f t="array" ref="AH3" xml:space="preserve"> COLUMN() - COLUMN($B:$B)</f>
        <v>32</v>
      </c>
      <c r="AI3" s="87" cm="1">
        <f t="array" ref="AI3" xml:space="preserve"> COLUMN() - COLUMN($B:$B)</f>
        <v>33</v>
      </c>
      <c r="AJ3" s="87" cm="1">
        <f t="array" ref="AJ3" xml:space="preserve"> COLUMN() - COLUMN($B:$B)</f>
        <v>34</v>
      </c>
      <c r="AK3" s="87" cm="1">
        <f t="array" ref="AK3" xml:space="preserve"> COLUMN() - COLUMN($B:$B)</f>
        <v>35</v>
      </c>
      <c r="AL3" s="87" cm="1">
        <f t="array" ref="AL3" xml:space="preserve"> COLUMN() - COLUMN($B:$B)</f>
        <v>36</v>
      </c>
      <c r="AM3" s="87" cm="1">
        <f t="array" ref="AM3" xml:space="preserve"> COLUMN() - COLUMN($B:$B)</f>
        <v>37</v>
      </c>
      <c r="AN3" s="87" cm="1">
        <f t="array" ref="AN3" xml:space="preserve"> COLUMN() - COLUMN($B:$B)</f>
        <v>38</v>
      </c>
      <c r="AO3" s="87" cm="1">
        <f t="array" ref="AO3" xml:space="preserve"> COLUMN() - COLUMN($B:$B)</f>
        <v>39</v>
      </c>
      <c r="AP3" s="87" cm="1">
        <f t="array" ref="AP3" xml:space="preserve"> COLUMN() - COLUMN($B:$B)</f>
        <v>40</v>
      </c>
      <c r="AQ3" s="87" cm="1">
        <f t="array" ref="AQ3" xml:space="preserve"> COLUMN() - COLUMN($B:$B)</f>
        <v>41</v>
      </c>
      <c r="AR3" s="87" cm="1">
        <f t="array" ref="AR3" xml:space="preserve"> COLUMN() - COLUMN($B:$B)</f>
        <v>42</v>
      </c>
      <c r="AS3" s="87" cm="1">
        <f t="array" ref="AS3" xml:space="preserve"> COLUMN() - COLUMN($B:$B)</f>
        <v>43</v>
      </c>
      <c r="AT3" s="87" cm="1">
        <f t="array" ref="AT3" xml:space="preserve"> COLUMN() - COLUMN($B:$B)</f>
        <v>44</v>
      </c>
      <c r="AU3" s="87" cm="1">
        <f t="array" ref="AU3" xml:space="preserve"> COLUMN() - COLUMN($B:$B)</f>
        <v>45</v>
      </c>
    </row>
    <row r="4" spans="1:47" s="57" customFormat="1" ht="25.5" customHeight="1">
      <c r="B4" s="86" t="str">
        <f>'[1](5)鍵盤表'!B16</f>
        <v>方音符號</v>
      </c>
      <c r="C4" s="84" t="str">
        <f>'[1](5)鍵盤表'!C16</f>
        <v>ㄅ</v>
      </c>
      <c r="D4" s="84" t="str">
        <f>'[1](5)鍵盤表'!D16</f>
        <v>ㄆ</v>
      </c>
      <c r="E4" s="84" t="str">
        <f>'[1](5)鍵盤表'!E16</f>
        <v>ㄇ</v>
      </c>
      <c r="F4" s="85" t="str">
        <f>'[1](5)鍵盤表'!F16</f>
        <v>ㆠ</v>
      </c>
      <c r="G4" s="84" t="str">
        <f>'[1](5)鍵盤表'!G16</f>
        <v>ㄉ</v>
      </c>
      <c r="H4" s="84" t="str">
        <f>'[1](5)鍵盤表'!H16</f>
        <v>ㄊ</v>
      </c>
      <c r="I4" s="84" t="str">
        <f>'[1](5)鍵盤表'!I16</f>
        <v>ㄋ</v>
      </c>
      <c r="J4" s="84" t="str">
        <f>'[1](5)鍵盤表'!J16</f>
        <v>ㄌ</v>
      </c>
      <c r="K4" s="84" t="str">
        <f>'[1](5)鍵盤表'!K16</f>
        <v>ㄍ</v>
      </c>
      <c r="L4" s="84" t="str">
        <f>'[1](5)鍵盤表'!L16</f>
        <v>ㄎ</v>
      </c>
      <c r="M4" s="84" t="str">
        <f>'[1](5)鍵盤表'!M16</f>
        <v>ㄏ</v>
      </c>
      <c r="N4" s="85" t="str">
        <f>'[1](5)鍵盤表'!N16</f>
        <v>ㆣ</v>
      </c>
      <c r="O4" s="85" t="str">
        <f>'[1](5)鍵盤表'!O16</f>
        <v>ㄫ</v>
      </c>
      <c r="P4" s="84" t="str">
        <f>'[1](5)鍵盤表'!P16</f>
        <v>ㄗ</v>
      </c>
      <c r="Q4" s="84" t="str">
        <f>'[1](5)鍵盤表'!Q16</f>
        <v>ㄘ</v>
      </c>
      <c r="R4" s="84" t="str">
        <f>'[1](5)鍵盤表'!R16</f>
        <v>ㄙ</v>
      </c>
      <c r="S4" s="85" t="str">
        <f>'[1](5)鍵盤表'!S16</f>
        <v>ㆡ</v>
      </c>
      <c r="T4" s="84" t="str">
        <f>'[1](5)鍵盤表'!T16</f>
        <v>ㄐ</v>
      </c>
      <c r="U4" s="84" t="str">
        <f>'[1](5)鍵盤表'!U16</f>
        <v>ㄑ</v>
      </c>
      <c r="V4" s="84" t="str">
        <f>'[1](5)鍵盤表'!V16</f>
        <v>ㄒ</v>
      </c>
      <c r="W4" s="85" t="str">
        <f>'[1](5)鍵盤表'!W16</f>
        <v>ㆢ</v>
      </c>
      <c r="X4" s="84" t="str">
        <f>'[1](5)鍵盤表'!X16</f>
        <v>ㄧ</v>
      </c>
      <c r="Y4" s="84" t="str">
        <f>'[1](5)鍵盤表'!Y16</f>
        <v>ㄨ</v>
      </c>
      <c r="Z4" s="84" t="str">
        <f>'[1](5)鍵盤表'!Z16</f>
        <v>ㄚ</v>
      </c>
      <c r="AA4" s="85" t="str">
        <f>'[1](5)鍵盤表'!AA16</f>
        <v>ㆦ</v>
      </c>
      <c r="AB4" s="84" t="str">
        <f>'[1](5)鍵盤表'!AB16</f>
        <v>ㄜ</v>
      </c>
      <c r="AC4" s="85" t="str">
        <f>'[1](5)鍵盤表'!AC16</f>
        <v>ㆤ</v>
      </c>
      <c r="AD4" s="85" t="str">
        <f>'[1](5)鍵盤表'!AD16</f>
        <v>ㆬ</v>
      </c>
      <c r="AE4" s="85" t="str">
        <f>'[1](5)鍵盤表'!AE16</f>
        <v>ㆭ</v>
      </c>
      <c r="AF4" s="84" t="str">
        <f>'[1](5)鍵盤表'!AF16</f>
        <v>ㄞ</v>
      </c>
      <c r="AG4" s="84" t="str">
        <f>'[1](5)鍵盤表'!AG16</f>
        <v>ㄠ</v>
      </c>
      <c r="AH4" s="85" t="str">
        <f>'[1](5)鍵盤表'!AH16</f>
        <v>ㆰ</v>
      </c>
      <c r="AI4" s="84" t="str">
        <f>'[1](5)鍵盤表'!AI16</f>
        <v>ㆱ</v>
      </c>
      <c r="AJ4" s="84" t="str">
        <f>'[1](5)鍵盤表'!AJ16</f>
        <v>ㄢ</v>
      </c>
      <c r="AK4" s="85" t="str">
        <f>'[1](5)鍵盤表'!AK16</f>
        <v>ㄣ</v>
      </c>
      <c r="AL4" s="85" t="str">
        <f>'[1](5)鍵盤表'!AL16</f>
        <v>ㄤ</v>
      </c>
      <c r="AM4" s="84" t="str">
        <f>'[1](5)鍵盤表'!AM16</f>
        <v>ㄥ</v>
      </c>
      <c r="AN4" s="84" t="str">
        <f>'[1](5)鍵盤表'!AN16</f>
        <v>ㆲ</v>
      </c>
      <c r="AO4" s="84" t="str">
        <f>'[1](5)鍵盤表'!AO16</f>
        <v>ｎ</v>
      </c>
      <c r="AP4" s="84">
        <f>'[1](5)鍵盤表'!AP16</f>
        <v>0</v>
      </c>
      <c r="AQ4" s="84" t="str">
        <f>'[1](5)鍵盤表'!AQ16</f>
        <v>˪</v>
      </c>
      <c r="AR4" s="84" t="str">
        <f>'[1](5)鍵盤表'!AR16</f>
        <v>ˋ</v>
      </c>
      <c r="AS4" s="84" t="str">
        <f>'[1](5)鍵盤表'!AS16</f>
        <v>˫</v>
      </c>
      <c r="AT4" s="84" t="str">
        <f>'[1](5)鍵盤表'!AT16</f>
        <v>ˊ</v>
      </c>
      <c r="AU4" s="84" t="str">
        <f>'[1](5)鍵盤表'!AU16</f>
        <v>·</v>
      </c>
    </row>
    <row r="5" spans="1:47" s="57" customFormat="1" ht="25.5" customHeight="1">
      <c r="B5" s="83" t="str">
        <f>'[1](5)鍵盤表'!B17</f>
        <v>國際音標</v>
      </c>
      <c r="C5" s="81" t="str">
        <f>'[1](5)鍵盤表'!C17</f>
        <v>p</v>
      </c>
      <c r="D5" s="81" t="str">
        <f>'[1](5)鍵盤表'!D17</f>
        <v>pʰ</v>
      </c>
      <c r="E5" s="81" t="str">
        <f>'[1](5)鍵盤表'!E17</f>
        <v>m</v>
      </c>
      <c r="F5" s="80" t="str">
        <f>'[1](5)鍵盤表'!F17</f>
        <v>b</v>
      </c>
      <c r="G5" s="81" t="str">
        <f>'[1](5)鍵盤表'!G17</f>
        <v>t</v>
      </c>
      <c r="H5" s="81" t="str">
        <f>'[1](5)鍵盤表'!H17</f>
        <v>tʰ</v>
      </c>
      <c r="I5" s="81" t="str">
        <f>'[1](5)鍵盤表'!I17</f>
        <v>n</v>
      </c>
      <c r="J5" s="81" t="str">
        <f>'[1](5)鍵盤表'!J17</f>
        <v>l</v>
      </c>
      <c r="K5" s="81" t="str">
        <f>'[1](5)鍵盤表'!K17</f>
        <v>k</v>
      </c>
      <c r="L5" s="81" t="str">
        <f>'[1](5)鍵盤表'!L17</f>
        <v>kʰ</v>
      </c>
      <c r="M5" s="81" t="str">
        <f>'[1](5)鍵盤表'!M17</f>
        <v>h</v>
      </c>
      <c r="N5" s="80" t="str">
        <f>'[1](5)鍵盤表'!N17</f>
        <v>g</v>
      </c>
      <c r="O5" s="80" t="str">
        <f>'[1](5)鍵盤表'!O17</f>
        <v>ŋ</v>
      </c>
      <c r="P5" s="81" t="str">
        <f>'[1](5)鍵盤表'!P17</f>
        <v>t͡s</v>
      </c>
      <c r="Q5" s="81" t="str">
        <f>'[1](5)鍵盤表'!Q17</f>
        <v>t͡sʰ</v>
      </c>
      <c r="R5" s="81" t="str">
        <f>'[1](5)鍵盤表'!R17</f>
        <v>s</v>
      </c>
      <c r="S5" s="80" t="str">
        <f>'[1](5)鍵盤表'!S17</f>
        <v xml:space="preserve"> 	d͡z / z</v>
      </c>
      <c r="T5" s="81" t="str">
        <f>'[1](5)鍵盤表'!T17</f>
        <v xml:space="preserve"> 	t͡ɕ</v>
      </c>
      <c r="U5" s="81" t="str">
        <f>'[1](5)鍵盤表'!U17</f>
        <v>t͡ɕʰ</v>
      </c>
      <c r="V5" s="81" t="str">
        <f>'[1](5)鍵盤表'!V17</f>
        <v>ɕ</v>
      </c>
      <c r="W5" s="80" t="str">
        <f>'[1](5)鍵盤表'!W17</f>
        <v>d͡ʑ / ʑ[</v>
      </c>
      <c r="X5" s="81" t="str">
        <f>'[1](5)鍵盤表'!X17</f>
        <v>i</v>
      </c>
      <c r="Y5" s="81" t="str">
        <f>'[1](5)鍵盤表'!Y17</f>
        <v>u</v>
      </c>
      <c r="Z5" s="81" t="str">
        <f>'[1](5)鍵盤表'!Z17</f>
        <v>a</v>
      </c>
      <c r="AA5" s="80" t="str">
        <f>'[1](5)鍵盤表'!AA17</f>
        <v>ɔ</v>
      </c>
      <c r="AB5" s="81" t="str">
        <f>'[1](5)鍵盤表'!AB17</f>
        <v>o</v>
      </c>
      <c r="AC5" s="80" t="str">
        <f>'[1](5)鍵盤表'!AC17</f>
        <v>e</v>
      </c>
      <c r="AD5" s="82" t="str">
        <f>'[1](5)鍵盤表'!AD17</f>
        <v>m̩</v>
      </c>
      <c r="AE5" s="82" t="str">
        <f>'[1](5)鍵盤表'!AE17</f>
        <v>ŋ̍</v>
      </c>
      <c r="AF5" s="81" t="str">
        <f>'[1](5)鍵盤表'!AF17</f>
        <v>ai</v>
      </c>
      <c r="AG5" s="81" t="str">
        <f>'[1](5)鍵盤表'!AG17</f>
        <v>au</v>
      </c>
      <c r="AH5" s="80" t="str">
        <f>'[1](5)鍵盤表'!AH17</f>
        <v>am</v>
      </c>
      <c r="AI5" s="81" t="str">
        <f>'[1](5)鍵盤表'!AI17</f>
        <v>ɔm</v>
      </c>
      <c r="AJ5" s="81" t="str">
        <f>'[1](5)鍵盤表'!AJ17</f>
        <v>an</v>
      </c>
      <c r="AK5" s="80" t="str">
        <f>'[1](5)鍵盤表'!AK17</f>
        <v>n</v>
      </c>
      <c r="AL5" s="80" t="str">
        <f>'[1](5)鍵盤表'!AL17</f>
        <v>aŋ</v>
      </c>
      <c r="AM5" s="79" t="str">
        <f>'[1](5)鍵盤表'!AM17</f>
        <v>əŋ</v>
      </c>
      <c r="AN5" s="79" t="str">
        <f>'[1](5)鍵盤表'!AN17</f>
        <v>ɔŋ</v>
      </c>
      <c r="AO5" s="79" t="str">
        <f>'[1](5)鍵盤表'!AO17</f>
        <v>ã</v>
      </c>
      <c r="AP5" s="78">
        <f>'[1](5)鍵盤表'!AP17</f>
        <v>1</v>
      </c>
      <c r="AQ5" s="78">
        <f>'[1](5)鍵盤表'!AQ17</f>
        <v>0</v>
      </c>
      <c r="AR5" s="78">
        <f>'[1](5)鍵盤表'!AR17</f>
        <v>0</v>
      </c>
      <c r="AS5" s="78">
        <f>'[1](5)鍵盤表'!AS17</f>
        <v>0</v>
      </c>
      <c r="AT5" s="78">
        <f>'[1](5)鍵盤表'!AT17</f>
        <v>0</v>
      </c>
      <c r="AU5" s="78">
        <f>'[1](5)鍵盤表'!AU17</f>
        <v>0</v>
      </c>
    </row>
    <row r="6" spans="1:47" s="57" customFormat="1" ht="25.5" customHeight="1">
      <c r="B6" s="77" t="str">
        <f>'[1](5)鍵盤表'!B18</f>
        <v>羅馬拼音</v>
      </c>
      <c r="C6" s="75" t="str">
        <f>'[1](5)鍵盤表'!C18</f>
        <v>p</v>
      </c>
      <c r="D6" s="75" t="str">
        <f>'[1](5)鍵盤表'!D18</f>
        <v>ph</v>
      </c>
      <c r="E6" s="75" t="str">
        <f>'[1](5)鍵盤表'!E18</f>
        <v>m</v>
      </c>
      <c r="F6" s="73" t="str">
        <f>'[1](5)鍵盤表'!F18</f>
        <v>b</v>
      </c>
      <c r="G6" s="75" t="str">
        <f>'[1](5)鍵盤表'!G18</f>
        <v>t</v>
      </c>
      <c r="H6" s="75" t="str">
        <f>'[1](5)鍵盤表'!H18</f>
        <v>th</v>
      </c>
      <c r="I6" s="75" t="str">
        <f>'[1](5)鍵盤表'!I18</f>
        <v>n</v>
      </c>
      <c r="J6" s="75" t="str">
        <f>'[1](5)鍵盤表'!J18</f>
        <v>l</v>
      </c>
      <c r="K6" s="75" t="str">
        <f>'[1](5)鍵盤表'!K18</f>
        <v>k</v>
      </c>
      <c r="L6" s="75" t="str">
        <f>'[1](5)鍵盤表'!L18</f>
        <v>kh</v>
      </c>
      <c r="M6" s="75" t="str">
        <f>'[1](5)鍵盤表'!M18</f>
        <v>h</v>
      </c>
      <c r="N6" s="73" t="str">
        <f>'[1](5)鍵盤表'!N18</f>
        <v>g</v>
      </c>
      <c r="O6" s="73" t="str">
        <f>'[1](5)鍵盤表'!O18</f>
        <v>ng</v>
      </c>
      <c r="P6" s="75" t="str">
        <f>'[1](5)鍵盤表'!P18</f>
        <v>ts</v>
      </c>
      <c r="Q6" s="75" t="str">
        <f>'[1](5)鍵盤表'!Q18</f>
        <v>tsh</v>
      </c>
      <c r="R6" s="75" t="str">
        <f>'[1](5)鍵盤表'!R18</f>
        <v>s</v>
      </c>
      <c r="S6" s="73" t="str">
        <f>'[1](5)鍵盤表'!S18</f>
        <v>j</v>
      </c>
      <c r="T6" s="75" t="str">
        <f>'[1](5)鍵盤表'!T18</f>
        <v>tsi</v>
      </c>
      <c r="U6" s="75" t="str">
        <f>'[1](5)鍵盤表'!U18</f>
        <v>tshi</v>
      </c>
      <c r="V6" s="75" t="str">
        <f>'[1](5)鍵盤表'!V18</f>
        <v>si</v>
      </c>
      <c r="W6" s="73" t="str">
        <f>'[1](5)鍵盤表'!W18</f>
        <v>ji</v>
      </c>
      <c r="X6" s="75" t="str">
        <f>'[1](5)鍵盤表'!X18</f>
        <v>i</v>
      </c>
      <c r="Y6" s="75" t="str">
        <f>'[1](5)鍵盤表'!Y18</f>
        <v>u</v>
      </c>
      <c r="Z6" s="75" t="str">
        <f>'[1](5)鍵盤表'!Z18</f>
        <v>a</v>
      </c>
      <c r="AA6" s="73" t="str">
        <f>'[1](5)鍵盤表'!AA18</f>
        <v>oo</v>
      </c>
      <c r="AB6" s="75" t="str">
        <f>'[1](5)鍵盤表'!AB18</f>
        <v>o</v>
      </c>
      <c r="AC6" s="73" t="str">
        <f>'[1](5)鍵盤表'!AC18</f>
        <v>e</v>
      </c>
      <c r="AD6" s="76" t="str">
        <f>'[1](5)鍵盤表'!AD18</f>
        <v>-m</v>
      </c>
      <c r="AE6" s="76" t="str">
        <f>'[1](5)鍵盤表'!AE18</f>
        <v>-ng</v>
      </c>
      <c r="AF6" s="75" t="str">
        <f>'[1](5)鍵盤表'!AF18</f>
        <v>ai</v>
      </c>
      <c r="AG6" s="75" t="str">
        <f>'[1](5)鍵盤表'!AG18</f>
        <v>au</v>
      </c>
      <c r="AH6" s="73" t="str">
        <f>'[1](5)鍵盤表'!AH18</f>
        <v>am</v>
      </c>
      <c r="AI6" s="75" t="str">
        <f>'[1](5)鍵盤表'!AI18</f>
        <v>om</v>
      </c>
      <c r="AJ6" s="75" t="str">
        <f>'[1](5)鍵盤表'!AJ18</f>
        <v>an</v>
      </c>
      <c r="AK6" s="73" t="str">
        <f>'[1](5)鍵盤表'!AK18</f>
        <v>-n</v>
      </c>
      <c r="AL6" s="73" t="str">
        <f>'[1](5)鍵盤表'!AL18</f>
        <v>ang</v>
      </c>
      <c r="AM6" s="74" t="str">
        <f>'[1](5)鍵盤表'!AM18</f>
        <v>-ng</v>
      </c>
      <c r="AN6" s="74" t="str">
        <f>'[1](5)鍵盤表'!AN18</f>
        <v>ong</v>
      </c>
      <c r="AO6" s="74" t="str">
        <f>'[1](5)鍵盤表'!AO18</f>
        <v>-nn</v>
      </c>
      <c r="AP6" s="73">
        <f>'[1](5)鍵盤表'!AP18</f>
        <v>1</v>
      </c>
      <c r="AQ6" s="73">
        <f>'[1](5)鍵盤表'!AQ18</f>
        <v>3</v>
      </c>
      <c r="AR6" s="73">
        <f>'[1](5)鍵盤表'!AR18</f>
        <v>2</v>
      </c>
      <c r="AS6" s="73">
        <f>'[1](5)鍵盤表'!AS18</f>
        <v>7</v>
      </c>
      <c r="AT6" s="73">
        <f>'[1](5)鍵盤表'!AT18</f>
        <v>5</v>
      </c>
      <c r="AU6" s="73">
        <f>'[1](5)鍵盤表'!AU18</f>
        <v>8</v>
      </c>
    </row>
    <row r="7" spans="1:47" s="57" customFormat="1" ht="25.5" customHeight="1">
      <c r="B7" s="65" t="str">
        <f>'[1](5)鍵盤表'!B19</f>
        <v>拼音字母</v>
      </c>
      <c r="C7" s="72" t="str">
        <f>'[1](5)鍵盤表'!C19</f>
        <v>p</v>
      </c>
      <c r="D7" s="72" t="str">
        <f>'[1](5)鍵盤表'!D19</f>
        <v>P</v>
      </c>
      <c r="E7" s="72" t="str">
        <f>'[1](5)鍵盤表'!E19</f>
        <v>m</v>
      </c>
      <c r="F7" s="72" t="str">
        <f>'[1](5)鍵盤表'!F19</f>
        <v>b</v>
      </c>
      <c r="G7" s="72" t="str">
        <f>'[1](5)鍵盤表'!G19</f>
        <v>t</v>
      </c>
      <c r="H7" s="72" t="str">
        <f>'[1](5)鍵盤表'!H19</f>
        <v>T</v>
      </c>
      <c r="I7" s="72" t="str">
        <f>'[1](5)鍵盤表'!I19</f>
        <v>d</v>
      </c>
      <c r="J7" s="72" t="str">
        <f>'[1](5)鍵盤表'!J19</f>
        <v>d</v>
      </c>
      <c r="K7" s="72" t="str">
        <f>'[1](5)鍵盤表'!K19</f>
        <v>k</v>
      </c>
      <c r="L7" s="72" t="str">
        <f>'[1](5)鍵盤表'!L19</f>
        <v>K</v>
      </c>
      <c r="M7" s="72" t="str">
        <f>'[1](5)鍵盤表'!M19</f>
        <v>h</v>
      </c>
      <c r="N7" s="72" t="str">
        <f>'[1](5)鍵盤表'!N19</f>
        <v>g</v>
      </c>
      <c r="O7" s="72" t="str">
        <f>'[1](5)鍵盤表'!O19</f>
        <v>g</v>
      </c>
      <c r="P7" s="72" t="str">
        <f>'[1](5)鍵盤表'!P19</f>
        <v>c</v>
      </c>
      <c r="Q7" s="72" t="str">
        <f>'[1](5)鍵盤表'!Q19</f>
        <v>C</v>
      </c>
      <c r="R7" s="72" t="str">
        <f>'[1](5)鍵盤表'!R19</f>
        <v>s</v>
      </c>
      <c r="S7" s="72" t="str">
        <f>'[1](5)鍵盤表'!S19</f>
        <v>z</v>
      </c>
      <c r="T7" s="72" t="str">
        <f>'[1](5)鍵盤表'!T19</f>
        <v>ci</v>
      </c>
      <c r="U7" s="72" t="str">
        <f>'[1](5)鍵盤表'!U19</f>
        <v>Ci</v>
      </c>
      <c r="V7" s="72" t="str">
        <f>'[1](5)鍵盤表'!V19</f>
        <v>si</v>
      </c>
      <c r="W7" s="72" t="str">
        <f>'[1](5)鍵盤表'!W19</f>
        <v>zi</v>
      </c>
      <c r="X7" s="72" t="str">
        <f>'[1](5)鍵盤表'!X19</f>
        <v>i</v>
      </c>
      <c r="Y7" s="72" t="str">
        <f>'[1](5)鍵盤表'!Y19</f>
        <v>u</v>
      </c>
      <c r="Z7" s="72" t="str">
        <f>'[1](5)鍵盤表'!Z19</f>
        <v>a</v>
      </c>
      <c r="AA7" s="72" t="str">
        <f>'[1](5)鍵盤表'!AA19</f>
        <v>o</v>
      </c>
      <c r="AB7" s="72" t="str">
        <f>'[1](5)鍵盤表'!AB19</f>
        <v>ø</v>
      </c>
      <c r="AC7" s="72" t="str">
        <f>'[1](5)鍵盤表'!AC19</f>
        <v>e</v>
      </c>
      <c r="AD7" s="72" t="str">
        <f>'[1](5)鍵盤表'!AD19</f>
        <v>B</v>
      </c>
      <c r="AE7" s="72" t="str">
        <f>'[1](5)鍵盤表'!AE19</f>
        <v>G</v>
      </c>
      <c r="AF7" s="72" t="str">
        <f>'[1](5)鍵盤表'!AF19</f>
        <v>I</v>
      </c>
      <c r="AG7" s="72" t="str">
        <f>'[1](5)鍵盤表'!AG19</f>
        <v>U</v>
      </c>
      <c r="AH7" s="72" t="str">
        <f>'[1](5)鍵盤表'!AH19</f>
        <v>aB</v>
      </c>
      <c r="AI7" s="72" t="str">
        <f>'[1](5)鍵盤表'!AI19</f>
        <v>oB</v>
      </c>
      <c r="AJ7" s="72" t="str">
        <f>'[1](5)鍵盤表'!AJ19</f>
        <v>aD</v>
      </c>
      <c r="AK7" s="72" t="str">
        <f>'[1](5)鍵盤表'!AK19</f>
        <v>D</v>
      </c>
      <c r="AL7" s="72" t="str">
        <f>'[1](5)鍵盤表'!AL19</f>
        <v>aG</v>
      </c>
      <c r="AM7" s="72" t="str">
        <f>'[1](5)鍵盤表'!AM19</f>
        <v>øG</v>
      </c>
      <c r="AN7" s="72" t="str">
        <f>'[1](5)鍵盤表'!AN19</f>
        <v>oG</v>
      </c>
      <c r="AO7" s="72" t="str">
        <f>'[1](5)鍵盤表'!AO19</f>
        <v>N</v>
      </c>
      <c r="AP7" s="72" t="str">
        <f>'[1](5)鍵盤表'!AP19</f>
        <v/>
      </c>
      <c r="AQ7" s="72" t="str">
        <f>'[1](5)鍵盤表'!AQ19</f>
        <v/>
      </c>
      <c r="AR7" s="72" t="str">
        <f>'[1](5)鍵盤表'!AR19</f>
        <v/>
      </c>
      <c r="AS7" s="72" t="str">
        <f>'[1](5)鍵盤表'!AS19</f>
        <v/>
      </c>
      <c r="AT7" s="72" t="str">
        <f>'[1](5)鍵盤表'!AT19</f>
        <v/>
      </c>
      <c r="AU7" s="72" t="str">
        <f>'[1](5)鍵盤表'!AU19</f>
        <v/>
      </c>
    </row>
    <row r="8" spans="1:47" s="57" customFormat="1" ht="25.5" customHeight="1">
      <c r="B8" s="71" t="str">
        <f>'[1](5)鍵盤表'!B20</f>
        <v>鍵盤按鍵</v>
      </c>
      <c r="C8" s="67" t="str">
        <f>'[1](5)鍵盤表'!C20</f>
        <v>1</v>
      </c>
      <c r="D8" s="67" t="str">
        <f>'[1](5)鍵盤表'!D20</f>
        <v>q</v>
      </c>
      <c r="E8" s="67" t="str">
        <f>'[1](5)鍵盤表'!E20</f>
        <v>a</v>
      </c>
      <c r="F8" s="67" t="str">
        <f>'[1](5)鍵盤表'!F20</f>
        <v>z</v>
      </c>
      <c r="G8" s="67" t="str">
        <f>'[1](5)鍵盤表'!G20</f>
        <v>2</v>
      </c>
      <c r="H8" s="67" t="str">
        <f>'[1](5)鍵盤表'!H20</f>
        <v>w</v>
      </c>
      <c r="I8" s="67" t="str">
        <f>'[1](5)鍵盤表'!I20</f>
        <v>s</v>
      </c>
      <c r="J8" s="67" t="str">
        <f>'[1](5)鍵盤表'!J20</f>
        <v>x</v>
      </c>
      <c r="K8" s="67" t="str">
        <f>'[1](5)鍵盤表'!K20</f>
        <v>e</v>
      </c>
      <c r="L8" s="67" t="str">
        <f>'[1](5)鍵盤表'!L20</f>
        <v>d</v>
      </c>
      <c r="M8" s="67" t="str">
        <f>'[1](5)鍵盤表'!M20</f>
        <v>c</v>
      </c>
      <c r="N8" s="67" t="str">
        <f>'[1](5)鍵盤表'!N20</f>
        <v>t</v>
      </c>
      <c r="O8" s="67" t="str">
        <f>'[1](5)鍵盤表'!O20</f>
        <v>g</v>
      </c>
      <c r="P8" s="67" t="str">
        <f>'[1](5)鍵盤表'!P20</f>
        <v>y</v>
      </c>
      <c r="Q8" s="67" t="str">
        <f>'[1](5)鍵盤表'!Q20</f>
        <v>h</v>
      </c>
      <c r="R8" s="67" t="str">
        <f>'[1](5)鍵盤表'!R20</f>
        <v>n</v>
      </c>
      <c r="S8" s="67" t="str">
        <f>'[1](5)鍵盤表'!S20</f>
        <v>b</v>
      </c>
      <c r="T8" s="67" t="str">
        <f>'[1](5)鍵盤表'!T20</f>
        <v>r</v>
      </c>
      <c r="U8" s="67" t="str">
        <f>'[1](5)鍵盤表'!U20</f>
        <v>f</v>
      </c>
      <c r="V8" s="67" t="str">
        <f>'[1](5)鍵盤表'!V20</f>
        <v>v</v>
      </c>
      <c r="W8" s="67" t="str">
        <f>'[1](5)鍵盤表'!W20</f>
        <v>b</v>
      </c>
      <c r="X8" s="67" t="str">
        <f>'[1](5)鍵盤表'!X20</f>
        <v>u</v>
      </c>
      <c r="Y8" s="67" t="str">
        <f>'[1](5)鍵盤表'!Y20</f>
        <v>j</v>
      </c>
      <c r="Z8" s="67" t="str">
        <f>'[1](5)鍵盤表'!Z20</f>
        <v>8</v>
      </c>
      <c r="AA8" s="67" t="str">
        <f>'[1](5)鍵盤表'!AA20</f>
        <v>i</v>
      </c>
      <c r="AB8" s="67" t="str">
        <f>'[1](5)鍵盤表'!AB20</f>
        <v>k</v>
      </c>
      <c r="AC8" s="67" t="str">
        <f>'[1](5)鍵盤表'!AC20</f>
        <v>o</v>
      </c>
      <c r="AD8" s="67" t="str">
        <f>'[1](5)鍵盤表'!AD20</f>
        <v>m</v>
      </c>
      <c r="AE8" s="67" t="str">
        <f>'[1](5)鍵盤表'!AE20</f>
        <v>/</v>
      </c>
      <c r="AF8" s="67" t="str">
        <f>'[1](5)鍵盤表'!AF20</f>
        <v>9</v>
      </c>
      <c r="AG8" s="67" t="str">
        <f>'[1](5)鍵盤表'!AG20</f>
        <v>l</v>
      </c>
      <c r="AH8" s="67" t="str">
        <f>'[1](5)鍵盤表'!AH20</f>
        <v>,</v>
      </c>
      <c r="AI8" s="67" t="str">
        <f>'[1](5)鍵盤表'!AI20</f>
        <v>,</v>
      </c>
      <c r="AJ8" s="67" t="str">
        <f>'[1](5)鍵盤表'!AJ20</f>
        <v>0</v>
      </c>
      <c r="AK8" s="67" t="str">
        <f>'[1](5)鍵盤表'!AK20</f>
        <v>p</v>
      </c>
      <c r="AL8" s="67" t="str">
        <f>'[1](5)鍵盤表'!AL20</f>
        <v>;</v>
      </c>
      <c r="AM8" s="67" t="str">
        <f>'[1](5)鍵盤表'!AM20</f>
        <v/>
      </c>
      <c r="AN8" s="67" t="str">
        <f>'[1](5)鍵盤表'!AN20</f>
        <v>.</v>
      </c>
      <c r="AO8" s="67" t="str">
        <f>'[1](5)鍵盤表'!AO20</f>
        <v>-</v>
      </c>
      <c r="AP8" s="67" t="str">
        <f>'[1](5)鍵盤表'!AP20</f>
        <v/>
      </c>
      <c r="AQ8" s="67" t="str">
        <f>'[1](5)鍵盤表'!AQ20</f>
        <v>3</v>
      </c>
      <c r="AR8" s="67" t="str">
        <f>'[1](5)鍵盤表'!AR20</f>
        <v>4</v>
      </c>
      <c r="AS8" s="67" t="str">
        <f>'[1](5)鍵盤表'!AS20</f>
        <v>5</v>
      </c>
      <c r="AT8" s="67" t="str">
        <f>'[1](5)鍵盤表'!AT20</f>
        <v>6</v>
      </c>
      <c r="AU8" s="67" t="str">
        <f>'[1](5)鍵盤表'!AU20</f>
        <v/>
      </c>
    </row>
    <row r="9" spans="1:47" s="57" customFormat="1" ht="25.5" customHeight="1">
      <c r="B9" s="71" t="str">
        <f>'[1](5)鍵盤表'!B21</f>
        <v>鍵盤行號</v>
      </c>
      <c r="C9" s="67">
        <f>'[1](5)鍵盤表'!C21</f>
        <v>1</v>
      </c>
      <c r="D9" s="67">
        <f>'[1](5)鍵盤表'!D21</f>
        <v>1</v>
      </c>
      <c r="E9" s="67">
        <f>'[1](5)鍵盤表'!E21</f>
        <v>1</v>
      </c>
      <c r="F9" s="67">
        <f>'[1](5)鍵盤表'!F21</f>
        <v>1</v>
      </c>
      <c r="G9" s="70">
        <f>'[1](5)鍵盤表'!G21</f>
        <v>2</v>
      </c>
      <c r="H9" s="70">
        <f>'[1](5)鍵盤表'!H21</f>
        <v>2</v>
      </c>
      <c r="I9" s="70">
        <f>'[1](5)鍵盤表'!I21</f>
        <v>2</v>
      </c>
      <c r="J9" s="70">
        <f>'[1](5)鍵盤表'!J21</f>
        <v>2</v>
      </c>
      <c r="K9" s="67">
        <f>'[1](5)鍵盤表'!K21</f>
        <v>3</v>
      </c>
      <c r="L9" s="67">
        <f>'[1](5)鍵盤表'!L21</f>
        <v>3</v>
      </c>
      <c r="M9" s="67">
        <f>'[1](5)鍵盤表'!M21</f>
        <v>3</v>
      </c>
      <c r="N9" s="67">
        <f>'[1](5)鍵盤表'!N21</f>
        <v>3</v>
      </c>
      <c r="O9" s="69">
        <f>'[1](5)鍵盤表'!O21</f>
        <v>5</v>
      </c>
      <c r="P9" s="70">
        <f>'[1](5)鍵盤表'!P21</f>
        <v>6</v>
      </c>
      <c r="Q9" s="70">
        <f>'[1](5)鍵盤表'!Q21</f>
        <v>6</v>
      </c>
      <c r="R9" s="70">
        <f>'[1](5)鍵盤表'!R21</f>
        <v>6</v>
      </c>
      <c r="S9" s="69">
        <f>'[1](5)鍵盤表'!S21</f>
        <v>5</v>
      </c>
      <c r="T9" s="67">
        <f>'[1](5)鍵盤表'!T21</f>
        <v>4</v>
      </c>
      <c r="U9" s="67">
        <f>'[1](5)鍵盤表'!U21</f>
        <v>4</v>
      </c>
      <c r="V9" s="67">
        <f>'[1](5)鍵盤表'!V21</f>
        <v>4</v>
      </c>
      <c r="W9" s="68">
        <f>'[1](5)鍵盤表'!W21</f>
        <v>5</v>
      </c>
      <c r="X9" s="67">
        <f>'[1](5)鍵盤表'!X21</f>
        <v>7</v>
      </c>
      <c r="Y9" s="67">
        <f>'[1](5)鍵盤表'!Y21</f>
        <v>7</v>
      </c>
      <c r="Z9" s="67">
        <f>'[1](5)鍵盤表'!Z21</f>
        <v>8</v>
      </c>
      <c r="AA9" s="67">
        <f>'[1](5)鍵盤表'!AA21</f>
        <v>8</v>
      </c>
      <c r="AB9" s="67">
        <f>'[1](5)鍵盤表'!AB21</f>
        <v>8</v>
      </c>
      <c r="AC9" s="67">
        <f>'[1](5)鍵盤表'!AC21</f>
        <v>9</v>
      </c>
      <c r="AD9" s="67">
        <f>'[1](5)鍵盤表'!AD21</f>
        <v>7</v>
      </c>
      <c r="AE9" s="67">
        <f>'[1](5)鍵盤表'!AE21</f>
        <v>7</v>
      </c>
      <c r="AF9" s="67">
        <f>'[1](5)鍵盤表'!AF21</f>
        <v>9</v>
      </c>
      <c r="AG9" s="67">
        <f>'[1](5)鍵盤表'!AG21</f>
        <v>9</v>
      </c>
      <c r="AH9" s="67">
        <f>'[1](5)鍵盤表'!AH21</f>
        <v>8</v>
      </c>
      <c r="AI9" s="67">
        <f>'[1](5)鍵盤表'!AI21</f>
        <v>8</v>
      </c>
      <c r="AJ9" s="67">
        <f>'[1](5)鍵盤表'!AJ21</f>
        <v>0</v>
      </c>
      <c r="AK9" s="67">
        <f>'[1](5)鍵盤表'!AK21</f>
        <v>0</v>
      </c>
      <c r="AL9" s="67">
        <f>'[1](5)鍵盤表'!AL21</f>
        <v>0</v>
      </c>
      <c r="AM9" s="67">
        <f>'[1](5)鍵盤表'!AM21</f>
        <v>0</v>
      </c>
      <c r="AN9" s="67">
        <f>'[1](5)鍵盤表'!AN21</f>
        <v>0</v>
      </c>
      <c r="AO9" s="67" t="str">
        <f>'[1](5)鍵盤表'!AO21</f>
        <v>A</v>
      </c>
      <c r="AP9" s="67" t="str">
        <f>'[1](5)鍵盤表'!AP21</f>
        <v>&lt;SP&gt;</v>
      </c>
      <c r="AQ9" s="67">
        <f>'[1](5)鍵盤表'!AQ21</f>
        <v>3</v>
      </c>
      <c r="AR9" s="67">
        <f>'[1](5)鍵盤表'!AR21</f>
        <v>4</v>
      </c>
      <c r="AS9" s="67">
        <f>'[1](5)鍵盤表'!AS21</f>
        <v>5</v>
      </c>
      <c r="AT9" s="67">
        <f>'[1](5)鍵盤表'!AT21</f>
        <v>6</v>
      </c>
      <c r="AU9" s="67">
        <f>'[1](5)鍵盤表'!AU21</f>
        <v>7</v>
      </c>
    </row>
    <row r="10" spans="1:47" s="57" customFormat="1" ht="23.25"/>
    <row r="11" spans="1:47" s="57" customFormat="1" ht="23.25">
      <c r="B11" s="65" t="str">
        <f>B7</f>
        <v>拼音字母</v>
      </c>
      <c r="C11" s="603" t="str">
        <f xml:space="preserve"> _xlfn.CONCAT(C7:AO7)</f>
        <v>pPmbtTddkKhggcCszciCisiziiuaoøeBGIUaBoBaDDaGøGoGN</v>
      </c>
      <c r="D11" s="603"/>
      <c r="E11" s="603"/>
      <c r="F11" s="603"/>
      <c r="G11" s="603"/>
      <c r="H11" s="603"/>
      <c r="I11" s="603"/>
      <c r="J11" s="603"/>
      <c r="K11" s="603"/>
      <c r="L11" s="603"/>
      <c r="M11" s="603"/>
      <c r="N11" s="603"/>
      <c r="O11" s="603"/>
      <c r="P11" s="603"/>
      <c r="Q11" s="603"/>
      <c r="R11" s="603"/>
      <c r="S11" s="603"/>
      <c r="T11" s="603"/>
      <c r="U11" s="603"/>
      <c r="V11" s="603"/>
      <c r="W11" s="603"/>
      <c r="X11" s="603"/>
      <c r="Y11" s="603"/>
      <c r="Z11" s="603"/>
    </row>
    <row r="12" spans="1:47" s="57" customFormat="1" ht="23.25">
      <c r="B12" s="66" t="str">
        <f>B8</f>
        <v>鍵盤按鍵</v>
      </c>
      <c r="C12" s="601" t="str">
        <f xml:space="preserve"> _xlfn.CONCAT(C8:AO8)</f>
        <v>1qaz2wsxedctgyhnbrfvbuj8ikom/9l,,0p;.-</v>
      </c>
      <c r="D12" s="601"/>
      <c r="E12" s="601"/>
      <c r="F12" s="601"/>
      <c r="G12" s="601"/>
      <c r="H12" s="601"/>
      <c r="I12" s="601"/>
      <c r="J12" s="601"/>
      <c r="K12" s="601"/>
      <c r="L12" s="601"/>
      <c r="M12" s="601"/>
      <c r="N12" s="601"/>
      <c r="O12" s="601"/>
      <c r="P12" s="601"/>
      <c r="Q12" s="601"/>
      <c r="R12" s="601"/>
      <c r="S12" s="601"/>
      <c r="T12" s="601"/>
      <c r="U12" s="601"/>
      <c r="V12" s="601"/>
      <c r="W12" s="601"/>
      <c r="X12" s="601"/>
      <c r="Y12" s="601"/>
      <c r="Z12" s="601"/>
    </row>
    <row r="13" spans="1:47" s="57" customFormat="1" ht="23.25"/>
    <row r="14" spans="1:47" s="57" customFormat="1" ht="38.25">
      <c r="B14" s="63" t="s">
        <v>218</v>
      </c>
    </row>
    <row r="15" spans="1:47" s="57" customFormat="1" ht="23.25">
      <c r="B15" s="604" t="str">
        <f xml:space="preserve"> "- xlit|" &amp; C11 &amp; "|" &amp; C12 &amp; "|"</f>
        <v>- xlit|pPmbtTddkKhggcCszciCisiziiuaoøeBGIUaBoBaDDaGøGoGN|1qaz2wsxedctgyhnbrfvbuj8ikom/9l,,0p;.-|</v>
      </c>
      <c r="C15" s="604"/>
      <c r="D15" s="604"/>
      <c r="E15" s="604"/>
      <c r="F15" s="604"/>
      <c r="G15" s="604"/>
      <c r="H15" s="604"/>
      <c r="I15" s="604"/>
      <c r="J15" s="604"/>
      <c r="K15" s="604"/>
      <c r="L15" s="604"/>
      <c r="M15" s="604"/>
      <c r="N15" s="604"/>
      <c r="O15" s="604"/>
      <c r="P15" s="604"/>
      <c r="Q15" s="604"/>
      <c r="R15" s="604"/>
      <c r="S15" s="604"/>
      <c r="T15" s="604"/>
      <c r="U15" s="604"/>
      <c r="V15" s="604"/>
      <c r="W15" s="604"/>
      <c r="X15" s="604"/>
      <c r="Y15" s="604"/>
      <c r="Z15" s="604"/>
    </row>
    <row r="16" spans="1:47" s="57" customFormat="1" ht="23.25"/>
    <row r="17" spans="2:26" s="57" customFormat="1" ht="38.25">
      <c r="B17" s="63" t="s">
        <v>220</v>
      </c>
    </row>
    <row r="18" spans="2:26" s="57" customFormat="1" ht="23.25"/>
    <row r="19" spans="2:26" s="57" customFormat="1" ht="23.25">
      <c r="B19" s="65" t="str">
        <f>B7</f>
        <v>拼音字母</v>
      </c>
      <c r="C19" s="603" t="str">
        <f xml:space="preserve"> _xlfn.CONCAT(C7:AO7)</f>
        <v>pPmbtTddkKhggcCszciCisiziiuaoøeBGIUaBoBaDDaGøGoGN</v>
      </c>
      <c r="D19" s="603"/>
      <c r="E19" s="603"/>
      <c r="F19" s="603"/>
      <c r="G19" s="603"/>
      <c r="H19" s="603"/>
      <c r="I19" s="603"/>
      <c r="J19" s="603"/>
      <c r="K19" s="603"/>
      <c r="L19" s="603"/>
      <c r="M19" s="603"/>
      <c r="N19" s="603"/>
      <c r="O19" s="603"/>
      <c r="P19" s="603"/>
      <c r="Q19" s="603"/>
      <c r="R19" s="603"/>
      <c r="S19" s="603"/>
      <c r="T19" s="603"/>
      <c r="U19" s="603"/>
      <c r="V19" s="603"/>
      <c r="W19" s="603"/>
      <c r="X19" s="603"/>
      <c r="Y19" s="603"/>
      <c r="Z19" s="603"/>
    </row>
    <row r="20" spans="2:26" s="57" customFormat="1" ht="23.25">
      <c r="B20" s="64" t="str">
        <f>B4</f>
        <v>方音符號</v>
      </c>
      <c r="C20" s="601" t="str">
        <f xml:space="preserve"> _xlfn.CONCAT( C4:AO4)</f>
        <v>ㄅㄆㄇㆠㄉㄊㄋㄌㄍㄎㄏㆣㄫㄗㄘㄙㆡㄐㄑㄒㆢㄧㄨㄚㆦㄜㆤㆬㆭㄞㄠㆰㆱㄢㄣㄤㄥㆲｎ</v>
      </c>
      <c r="D20" s="601"/>
      <c r="E20" s="601"/>
      <c r="F20" s="601"/>
      <c r="G20" s="601"/>
      <c r="H20" s="601"/>
      <c r="I20" s="601"/>
      <c r="J20" s="601"/>
      <c r="K20" s="601"/>
      <c r="L20" s="601"/>
      <c r="M20" s="601"/>
      <c r="N20" s="601"/>
      <c r="O20" s="601"/>
      <c r="P20" s="601"/>
      <c r="Q20" s="601"/>
      <c r="R20" s="601"/>
      <c r="S20" s="601"/>
      <c r="T20" s="601"/>
      <c r="U20" s="601"/>
      <c r="V20" s="601"/>
      <c r="W20" s="601"/>
      <c r="X20" s="601"/>
      <c r="Y20" s="601"/>
      <c r="Z20" s="601"/>
    </row>
    <row r="21" spans="2:26" s="57" customFormat="1" ht="23.25"/>
    <row r="22" spans="2:26" s="57" customFormat="1" ht="38.25">
      <c r="B22" s="63" t="s">
        <v>218</v>
      </c>
    </row>
    <row r="23" spans="2:26" s="57" customFormat="1" ht="23.25">
      <c r="B23" s="604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604"/>
      <c r="D23" s="604"/>
      <c r="E23" s="604"/>
      <c r="F23" s="604"/>
      <c r="G23" s="604"/>
      <c r="H23" s="604"/>
      <c r="I23" s="604"/>
      <c r="J23" s="604"/>
      <c r="K23" s="604"/>
      <c r="L23" s="604"/>
      <c r="M23" s="604"/>
      <c r="N23" s="604"/>
      <c r="O23" s="604"/>
      <c r="P23" s="604"/>
      <c r="Q23" s="604"/>
      <c r="R23" s="604"/>
      <c r="S23" s="604"/>
      <c r="T23" s="604"/>
      <c r="U23" s="604"/>
      <c r="V23" s="604"/>
      <c r="W23" s="604"/>
      <c r="X23" s="604"/>
      <c r="Y23" s="604"/>
      <c r="Z23" s="604"/>
    </row>
    <row r="24" spans="2:26" s="57" customFormat="1" ht="23.25"/>
    <row r="25" spans="2:26" s="57" customFormat="1" ht="38.25">
      <c r="B25" s="63" t="s">
        <v>219</v>
      </c>
    </row>
    <row r="26" spans="2:26" s="57" customFormat="1" ht="23.25"/>
    <row r="27" spans="2:26" s="57" customFormat="1" ht="23.25">
      <c r="B27" s="65" t="str">
        <f>B12</f>
        <v>鍵盤按鍵</v>
      </c>
      <c r="C27" s="603" t="str">
        <f xml:space="preserve"> _xlfn.CONCAT(C8:AO8)</f>
        <v>1qaz2wsxedctgyhnbrfvbuj8ikom/9l,,0p;.-</v>
      </c>
      <c r="D27" s="603"/>
      <c r="E27" s="603"/>
      <c r="F27" s="603"/>
      <c r="G27" s="603"/>
      <c r="H27" s="603"/>
      <c r="I27" s="603"/>
      <c r="J27" s="603"/>
      <c r="K27" s="603"/>
      <c r="L27" s="603"/>
      <c r="M27" s="603"/>
      <c r="N27" s="603"/>
      <c r="O27" s="603"/>
      <c r="P27" s="603"/>
      <c r="Q27" s="603"/>
      <c r="R27" s="603"/>
      <c r="S27" s="603"/>
      <c r="T27" s="603"/>
      <c r="U27" s="603"/>
      <c r="V27" s="603"/>
      <c r="W27" s="603"/>
      <c r="X27" s="603"/>
      <c r="Y27" s="603"/>
      <c r="Z27" s="603"/>
    </row>
    <row r="28" spans="2:26" s="57" customFormat="1" ht="23.25">
      <c r="B28" s="64" t="str">
        <f>B4</f>
        <v>方音符號</v>
      </c>
      <c r="C28" s="601" t="str">
        <f>_xlfn.CONCAT(C4:AO4)</f>
        <v>ㄅㄆㄇㆠㄉㄊㄋㄌㄍㄎㄏㆣㄫㄗㄘㄙㆡㄐㄑㄒㆢㄧㄨㄚㆦㄜㆤㆬㆭㄞㄠㆰㆱㄢㄣㄤㄥㆲｎ</v>
      </c>
      <c r="D28" s="601"/>
      <c r="E28" s="601"/>
      <c r="F28" s="601"/>
      <c r="G28" s="601"/>
      <c r="H28" s="601"/>
      <c r="I28" s="601"/>
      <c r="J28" s="601"/>
      <c r="K28" s="601"/>
      <c r="L28" s="601"/>
      <c r="M28" s="601"/>
      <c r="N28" s="601"/>
      <c r="O28" s="601"/>
      <c r="P28" s="601"/>
      <c r="Q28" s="601"/>
      <c r="R28" s="601"/>
      <c r="S28" s="601"/>
      <c r="T28" s="601"/>
      <c r="U28" s="601"/>
      <c r="V28" s="601"/>
      <c r="W28" s="601"/>
      <c r="X28" s="601"/>
      <c r="Y28" s="601"/>
      <c r="Z28" s="601"/>
    </row>
    <row r="29" spans="2:26" s="57" customFormat="1" ht="23.25"/>
    <row r="30" spans="2:26" s="57" customFormat="1" ht="38.25">
      <c r="B30" s="63" t="s">
        <v>218</v>
      </c>
    </row>
    <row r="31" spans="2:26" s="57" customFormat="1" ht="23.25">
      <c r="B31" s="604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604"/>
      <c r="D31" s="604"/>
      <c r="E31" s="604"/>
      <c r="F31" s="604"/>
      <c r="G31" s="604"/>
      <c r="H31" s="604"/>
      <c r="I31" s="604"/>
      <c r="J31" s="604"/>
      <c r="K31" s="604"/>
      <c r="L31" s="604"/>
      <c r="M31" s="604"/>
      <c r="N31" s="604"/>
      <c r="O31" s="604"/>
      <c r="P31" s="604"/>
      <c r="Q31" s="604"/>
      <c r="R31" s="604"/>
      <c r="S31" s="604"/>
      <c r="T31" s="604"/>
      <c r="U31" s="604"/>
      <c r="V31" s="604"/>
      <c r="W31" s="604"/>
      <c r="X31" s="604"/>
      <c r="Y31" s="604"/>
      <c r="Z31" s="604"/>
    </row>
    <row r="32" spans="2:26" s="57" customFormat="1" ht="23.25"/>
    <row r="33" spans="1:47" s="59" customFormat="1">
      <c r="A33" s="60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</row>
    <row r="34" spans="1:47" s="59" customFormat="1">
      <c r="A34" s="60"/>
      <c r="B34" s="61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1"/>
      <c r="AR34" s="60"/>
      <c r="AS34" s="60"/>
      <c r="AT34" s="60"/>
      <c r="AU34" s="60"/>
    </row>
    <row r="35" spans="1:47" s="59" customFormat="1">
      <c r="A35" s="60"/>
      <c r="B35" s="61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1"/>
      <c r="AR35" s="61"/>
      <c r="AS35" s="60"/>
      <c r="AT35" s="60"/>
      <c r="AU35" s="60"/>
    </row>
    <row r="36" spans="1:47" s="59" customFormat="1">
      <c r="A36" s="60"/>
      <c r="B36" s="61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1"/>
      <c r="AR36" s="61"/>
      <c r="AS36" s="60"/>
      <c r="AT36" s="60"/>
      <c r="AU36" s="60"/>
    </row>
    <row r="37" spans="1:47" s="59" customFormat="1">
      <c r="A37" s="60"/>
      <c r="B37" s="61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1"/>
      <c r="AR37" s="60"/>
      <c r="AS37" s="60"/>
      <c r="AT37" s="60"/>
      <c r="AU37" s="60"/>
    </row>
    <row r="38" spans="1:47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602"/>
      <c r="AR38" s="602"/>
      <c r="AS38" s="58"/>
      <c r="AT38" s="58"/>
      <c r="AU38" s="58"/>
    </row>
    <row r="39" spans="1:47" s="57" customFormat="1" ht="23.25"/>
  </sheetData>
  <mergeCells count="11">
    <mergeCell ref="B23:Z23"/>
    <mergeCell ref="C27:Z27"/>
    <mergeCell ref="C28:Z28"/>
    <mergeCell ref="B31:Z31"/>
    <mergeCell ref="AQ38:AR38"/>
    <mergeCell ref="C20:Z20"/>
    <mergeCell ref="AQ1:AR1"/>
    <mergeCell ref="C11:Z11"/>
    <mergeCell ref="C12:Z12"/>
    <mergeCell ref="B15:Z15"/>
    <mergeCell ref="C19:Z19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X52"/>
  <sheetViews>
    <sheetView topLeftCell="J1" workbookViewId="0"/>
  </sheetViews>
  <sheetFormatPr defaultRowHeight="21" outlineLevelCol="1"/>
  <cols>
    <col min="1" max="9" width="8.796875" customWidth="1" outlineLevel="1"/>
    <col min="11" max="18" width="8.796875" customWidth="1" outlineLevel="1"/>
    <col min="21" max="21" width="8.796875" style="402"/>
    <col min="22" max="22" width="8.796875" style="403"/>
  </cols>
  <sheetData>
    <row r="2" spans="2:24">
      <c r="B2" t="s">
        <v>48</v>
      </c>
      <c r="C2" t="s">
        <v>358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359</v>
      </c>
      <c r="K2" s="150" t="s">
        <v>116</v>
      </c>
      <c r="L2" s="150"/>
      <c r="M2" s="150" t="s">
        <v>414</v>
      </c>
      <c r="N2" s="151" t="s">
        <v>287</v>
      </c>
      <c r="O2" s="150" t="s">
        <v>215</v>
      </c>
      <c r="P2" s="150" t="s">
        <v>415</v>
      </c>
      <c r="Q2" s="150" t="s">
        <v>416</v>
      </c>
      <c r="R2" s="150" t="s">
        <v>417</v>
      </c>
      <c r="T2" t="s">
        <v>103</v>
      </c>
      <c r="U2" s="402" t="s">
        <v>167</v>
      </c>
      <c r="V2" s="403" t="s">
        <v>104</v>
      </c>
    </row>
    <row r="3" spans="2:24">
      <c r="B3" t="s">
        <v>76</v>
      </c>
      <c r="C3" t="s">
        <v>360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361</v>
      </c>
      <c r="K3" s="150" t="s">
        <v>117</v>
      </c>
      <c r="L3" s="150"/>
      <c r="M3" s="150" t="s">
        <v>418</v>
      </c>
      <c r="N3" s="151" t="s">
        <v>286</v>
      </c>
      <c r="O3" s="150"/>
      <c r="P3" s="150"/>
      <c r="Q3" s="150"/>
      <c r="R3" s="150"/>
      <c r="T3">
        <v>1</v>
      </c>
      <c r="U3" s="402">
        <v>1</v>
      </c>
      <c r="V3" s="403" t="s">
        <v>8</v>
      </c>
      <c r="X3" t="str">
        <f>"""" &amp; U3 &amp;  """: " &amp; V3</f>
        <v>"1": ㄅ</v>
      </c>
    </row>
    <row r="4" spans="2:24">
      <c r="B4" t="s">
        <v>20</v>
      </c>
      <c r="C4" t="s">
        <v>362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363</v>
      </c>
      <c r="K4" s="150" t="s">
        <v>107</v>
      </c>
      <c r="L4" s="150" t="s">
        <v>419</v>
      </c>
      <c r="M4" s="150" t="s">
        <v>420</v>
      </c>
      <c r="N4" s="151" t="s">
        <v>288</v>
      </c>
      <c r="O4" s="150" t="s">
        <v>212</v>
      </c>
      <c r="P4" s="150" t="s">
        <v>421</v>
      </c>
      <c r="Q4" s="150" t="s">
        <v>422</v>
      </c>
      <c r="R4" s="150" t="s">
        <v>423</v>
      </c>
      <c r="T4">
        <v>2</v>
      </c>
      <c r="U4" s="402" t="s">
        <v>805</v>
      </c>
      <c r="V4" s="403" t="s">
        <v>90</v>
      </c>
      <c r="X4" t="str">
        <f t="shared" ref="X4:X49" si="0">"""" &amp; U4 &amp;  """: " &amp; V4</f>
        <v>"!": ㆠ</v>
      </c>
    </row>
    <row r="5" spans="2:24">
      <c r="B5" t="s">
        <v>364</v>
      </c>
      <c r="C5" t="s">
        <v>365</v>
      </c>
      <c r="D5" t="s">
        <v>364</v>
      </c>
      <c r="E5" t="s">
        <v>79</v>
      </c>
      <c r="F5" t="s">
        <v>51</v>
      </c>
      <c r="G5" t="s">
        <v>366</v>
      </c>
      <c r="H5" t="s">
        <v>51</v>
      </c>
      <c r="I5" t="s">
        <v>367</v>
      </c>
      <c r="K5" s="150" t="s">
        <v>108</v>
      </c>
      <c r="L5" s="150" t="s">
        <v>424</v>
      </c>
      <c r="M5" s="150" t="s">
        <v>425</v>
      </c>
      <c r="N5" s="151" t="s">
        <v>284</v>
      </c>
      <c r="O5" s="150" t="s">
        <v>213</v>
      </c>
      <c r="P5" s="150" t="s">
        <v>426</v>
      </c>
      <c r="Q5" s="150" t="s">
        <v>427</v>
      </c>
      <c r="R5" s="150" t="s">
        <v>428</v>
      </c>
      <c r="T5">
        <v>3</v>
      </c>
      <c r="U5" s="402" t="s">
        <v>164</v>
      </c>
      <c r="V5" s="403" t="s">
        <v>37</v>
      </c>
      <c r="X5" t="str">
        <f t="shared" si="0"/>
        <v>"q": ㄆ</v>
      </c>
    </row>
    <row r="6" spans="2:24">
      <c r="B6" t="s">
        <v>78</v>
      </c>
      <c r="C6" t="s">
        <v>368</v>
      </c>
      <c r="D6" t="s">
        <v>364</v>
      </c>
      <c r="E6" t="s">
        <v>79</v>
      </c>
      <c r="F6" t="s">
        <v>79</v>
      </c>
      <c r="G6" t="s">
        <v>79</v>
      </c>
      <c r="H6" t="s">
        <v>79</v>
      </c>
      <c r="I6" t="s">
        <v>369</v>
      </c>
      <c r="K6" s="150" t="s">
        <v>110</v>
      </c>
      <c r="L6" s="150" t="s">
        <v>429</v>
      </c>
      <c r="M6" s="150" t="s">
        <v>430</v>
      </c>
      <c r="N6" s="151" t="s">
        <v>285</v>
      </c>
      <c r="O6" s="150" t="s">
        <v>214</v>
      </c>
      <c r="P6" s="150" t="s">
        <v>431</v>
      </c>
      <c r="Q6" s="150" t="s">
        <v>432</v>
      </c>
      <c r="R6" s="150" t="s">
        <v>433</v>
      </c>
      <c r="T6">
        <v>4</v>
      </c>
      <c r="U6" s="402" t="s">
        <v>21</v>
      </c>
      <c r="V6" s="403" t="s">
        <v>55</v>
      </c>
      <c r="X6" t="str">
        <f t="shared" si="0"/>
        <v>"a": ㄇ</v>
      </c>
    </row>
    <row r="7" spans="2:24">
      <c r="B7" t="s">
        <v>364</v>
      </c>
      <c r="C7" t="s">
        <v>365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370</v>
      </c>
      <c r="K7" s="150" t="s">
        <v>111</v>
      </c>
      <c r="L7" s="150"/>
      <c r="M7" s="150" t="s">
        <v>434</v>
      </c>
      <c r="N7" s="151" t="s">
        <v>435</v>
      </c>
      <c r="O7" s="150" t="s">
        <v>436</v>
      </c>
      <c r="P7" s="150" t="s">
        <v>437</v>
      </c>
      <c r="Q7" s="150" t="s">
        <v>438</v>
      </c>
      <c r="R7" s="150" t="s">
        <v>439</v>
      </c>
      <c r="T7">
        <v>5</v>
      </c>
      <c r="U7" s="402">
        <v>2</v>
      </c>
      <c r="V7" s="403" t="s">
        <v>10</v>
      </c>
      <c r="X7" t="str">
        <f t="shared" si="0"/>
        <v>"2": ㄉ</v>
      </c>
    </row>
    <row r="8" spans="2:24">
      <c r="B8" t="s">
        <v>22</v>
      </c>
      <c r="C8" t="s">
        <v>371</v>
      </c>
      <c r="D8" t="s">
        <v>372</v>
      </c>
      <c r="E8" t="s">
        <v>31</v>
      </c>
      <c r="F8" t="s">
        <v>372</v>
      </c>
      <c r="G8" t="s">
        <v>372</v>
      </c>
      <c r="H8" t="s">
        <v>372</v>
      </c>
      <c r="I8" t="s">
        <v>373</v>
      </c>
      <c r="K8" s="150" t="s">
        <v>112</v>
      </c>
      <c r="L8" s="150" t="s">
        <v>440</v>
      </c>
      <c r="M8" s="150" t="s">
        <v>441</v>
      </c>
      <c r="N8" s="151" t="s">
        <v>442</v>
      </c>
      <c r="O8" s="150" t="s">
        <v>443</v>
      </c>
      <c r="P8" s="150" t="s">
        <v>444</v>
      </c>
      <c r="Q8" s="150" t="s">
        <v>445</v>
      </c>
      <c r="R8" s="150" t="s">
        <v>446</v>
      </c>
      <c r="T8">
        <v>6</v>
      </c>
      <c r="U8" s="402" t="s">
        <v>170</v>
      </c>
      <c r="V8" s="403" t="s">
        <v>39</v>
      </c>
      <c r="X8" t="str">
        <f t="shared" si="0"/>
        <v>"w": ㄊ</v>
      </c>
    </row>
    <row r="9" spans="2:24">
      <c r="B9" t="s">
        <v>80</v>
      </c>
      <c r="C9" t="s">
        <v>374</v>
      </c>
      <c r="D9" t="s">
        <v>375</v>
      </c>
      <c r="E9" t="s">
        <v>30</v>
      </c>
      <c r="F9" t="s">
        <v>375</v>
      </c>
      <c r="G9" t="s">
        <v>375</v>
      </c>
      <c r="H9" t="s">
        <v>375</v>
      </c>
      <c r="I9" t="s">
        <v>376</v>
      </c>
      <c r="K9" s="150" t="s">
        <v>447</v>
      </c>
      <c r="L9" s="150"/>
      <c r="M9" s="150" t="s">
        <v>448</v>
      </c>
      <c r="N9" s="151" t="s">
        <v>449</v>
      </c>
      <c r="O9" s="150" t="s">
        <v>450</v>
      </c>
      <c r="P9" s="150" t="s">
        <v>451</v>
      </c>
      <c r="Q9" s="150" t="s">
        <v>452</v>
      </c>
      <c r="R9" s="150" t="s">
        <v>453</v>
      </c>
      <c r="T9">
        <v>7</v>
      </c>
      <c r="U9" s="402" t="s">
        <v>99</v>
      </c>
      <c r="V9" s="403" t="s">
        <v>67</v>
      </c>
      <c r="X9" t="str">
        <f t="shared" si="0"/>
        <v>"s": ㄋ</v>
      </c>
    </row>
    <row r="10" spans="2:24">
      <c r="B10" t="s">
        <v>377</v>
      </c>
      <c r="C10" t="s">
        <v>378</v>
      </c>
      <c r="D10" t="s">
        <v>379</v>
      </c>
      <c r="E10" t="s">
        <v>379</v>
      </c>
      <c r="F10" t="s">
        <v>379</v>
      </c>
      <c r="G10" t="s">
        <v>379</v>
      </c>
      <c r="H10" t="s">
        <v>379</v>
      </c>
      <c r="I10" t="s">
        <v>43</v>
      </c>
      <c r="K10" s="150" t="s">
        <v>454</v>
      </c>
      <c r="L10" s="150" t="s">
        <v>455</v>
      </c>
      <c r="M10" s="150" t="s">
        <v>456</v>
      </c>
      <c r="N10" s="151" t="s">
        <v>457</v>
      </c>
      <c r="O10" s="150" t="s">
        <v>458</v>
      </c>
      <c r="P10" s="150" t="s">
        <v>459</v>
      </c>
      <c r="Q10" s="150" t="s">
        <v>460</v>
      </c>
      <c r="R10" s="150" t="s">
        <v>461</v>
      </c>
      <c r="T10">
        <v>8</v>
      </c>
      <c r="U10" s="402" t="s">
        <v>171</v>
      </c>
      <c r="V10" s="403" t="s">
        <v>92</v>
      </c>
      <c r="X10" t="str">
        <f t="shared" si="0"/>
        <v>"x": ㄌ</v>
      </c>
    </row>
    <row r="11" spans="2:24">
      <c r="B11" t="s">
        <v>380</v>
      </c>
      <c r="C11" t="s">
        <v>381</v>
      </c>
      <c r="D11" t="s">
        <v>382</v>
      </c>
      <c r="E11" t="s">
        <v>382</v>
      </c>
      <c r="F11" t="s">
        <v>382</v>
      </c>
      <c r="G11" t="s">
        <v>382</v>
      </c>
      <c r="H11" t="s">
        <v>382</v>
      </c>
      <c r="I11" t="s">
        <v>383</v>
      </c>
      <c r="K11" s="150" t="s">
        <v>462</v>
      </c>
      <c r="L11" s="150"/>
      <c r="M11" s="150" t="s">
        <v>463</v>
      </c>
      <c r="N11" s="151" t="s">
        <v>464</v>
      </c>
      <c r="O11" s="150" t="s">
        <v>465</v>
      </c>
      <c r="P11" s="150" t="s">
        <v>466</v>
      </c>
      <c r="Q11" s="150" t="s">
        <v>467</v>
      </c>
      <c r="R11" s="150"/>
      <c r="T11">
        <v>9</v>
      </c>
      <c r="U11" s="402" t="s">
        <v>53</v>
      </c>
      <c r="V11" s="403" t="s">
        <v>41</v>
      </c>
      <c r="X11" t="str">
        <f t="shared" si="0"/>
        <v>"e": ㄍ</v>
      </c>
    </row>
    <row r="12" spans="2:24">
      <c r="B12" t="s">
        <v>384</v>
      </c>
      <c r="C12" t="s">
        <v>385</v>
      </c>
      <c r="D12" t="s">
        <v>386</v>
      </c>
      <c r="E12" t="s">
        <v>387</v>
      </c>
      <c r="F12" t="s">
        <v>387</v>
      </c>
      <c r="G12" t="s">
        <v>387</v>
      </c>
      <c r="H12" t="s">
        <v>387</v>
      </c>
      <c r="I12" t="s">
        <v>388</v>
      </c>
      <c r="K12" s="150" t="s">
        <v>468</v>
      </c>
      <c r="L12" s="150"/>
      <c r="M12" s="150" t="s">
        <v>469</v>
      </c>
      <c r="N12" s="151" t="s">
        <v>470</v>
      </c>
      <c r="O12" s="150" t="s">
        <v>471</v>
      </c>
      <c r="P12" s="150" t="s">
        <v>472</v>
      </c>
      <c r="Q12" s="150" t="s">
        <v>473</v>
      </c>
      <c r="R12" s="150" t="s">
        <v>474</v>
      </c>
      <c r="T12">
        <v>10</v>
      </c>
      <c r="U12" s="402" t="s">
        <v>26</v>
      </c>
      <c r="V12" s="403" t="s">
        <v>44</v>
      </c>
      <c r="X12" t="str">
        <f t="shared" si="0"/>
        <v>"E": ㆣ</v>
      </c>
    </row>
    <row r="13" spans="2:24">
      <c r="B13" t="s">
        <v>389</v>
      </c>
      <c r="C13" t="s">
        <v>390</v>
      </c>
      <c r="D13" t="s">
        <v>391</v>
      </c>
      <c r="E13" t="s">
        <v>392</v>
      </c>
      <c r="F13" t="s">
        <v>391</v>
      </c>
      <c r="G13" t="s">
        <v>391</v>
      </c>
      <c r="H13" t="s">
        <v>391</v>
      </c>
      <c r="I13" t="s">
        <v>393</v>
      </c>
      <c r="K13" s="150" t="s">
        <v>475</v>
      </c>
      <c r="L13" s="150"/>
      <c r="M13" s="150" t="s">
        <v>476</v>
      </c>
      <c r="N13" s="151" t="s">
        <v>477</v>
      </c>
      <c r="O13" s="150" t="s">
        <v>478</v>
      </c>
      <c r="P13" s="150" t="s">
        <v>479</v>
      </c>
      <c r="Q13" s="150" t="s">
        <v>480</v>
      </c>
      <c r="R13" s="150" t="s">
        <v>481</v>
      </c>
      <c r="T13">
        <v>11</v>
      </c>
      <c r="U13" s="402" t="s">
        <v>163</v>
      </c>
      <c r="V13" s="403" t="s">
        <v>69</v>
      </c>
      <c r="X13" t="str">
        <f t="shared" si="0"/>
        <v>"d": ㄎ</v>
      </c>
    </row>
    <row r="14" spans="2:24">
      <c r="B14" t="s">
        <v>394</v>
      </c>
      <c r="C14" t="s">
        <v>395</v>
      </c>
      <c r="D14" t="s">
        <v>396</v>
      </c>
      <c r="E14" t="s">
        <v>396</v>
      </c>
      <c r="F14" t="s">
        <v>396</v>
      </c>
      <c r="G14" t="s">
        <v>396</v>
      </c>
      <c r="H14" t="s">
        <v>396</v>
      </c>
      <c r="I14" t="s">
        <v>397</v>
      </c>
      <c r="K14" s="150" t="s">
        <v>482</v>
      </c>
      <c r="L14" s="150"/>
      <c r="M14" s="150" t="s">
        <v>483</v>
      </c>
      <c r="N14" s="151" t="s">
        <v>484</v>
      </c>
      <c r="O14" s="150" t="s">
        <v>485</v>
      </c>
      <c r="P14" s="150" t="s">
        <v>486</v>
      </c>
      <c r="Q14" s="150" t="s">
        <v>487</v>
      </c>
      <c r="R14" s="150" t="s">
        <v>488</v>
      </c>
      <c r="T14">
        <v>12</v>
      </c>
      <c r="U14" s="402" t="s">
        <v>166</v>
      </c>
      <c r="V14" s="403" t="s">
        <v>94</v>
      </c>
      <c r="X14" t="str">
        <f t="shared" si="0"/>
        <v>"c": ㄏ</v>
      </c>
    </row>
    <row r="15" spans="2:24">
      <c r="B15" t="s">
        <v>398</v>
      </c>
      <c r="C15" t="s">
        <v>399</v>
      </c>
      <c r="D15" t="s">
        <v>400</v>
      </c>
      <c r="E15" t="s">
        <v>400</v>
      </c>
      <c r="F15" t="s">
        <v>400</v>
      </c>
      <c r="G15" t="s">
        <v>401</v>
      </c>
      <c r="H15" t="s">
        <v>400</v>
      </c>
      <c r="I15" t="s">
        <v>402</v>
      </c>
      <c r="K15" s="150" t="s">
        <v>489</v>
      </c>
      <c r="L15" s="150"/>
      <c r="M15" s="150" t="s">
        <v>490</v>
      </c>
      <c r="N15" s="151" t="s">
        <v>491</v>
      </c>
      <c r="O15" s="150" t="s">
        <v>492</v>
      </c>
      <c r="P15" s="150" t="s">
        <v>493</v>
      </c>
      <c r="Q15" s="150" t="s">
        <v>494</v>
      </c>
      <c r="R15" s="150"/>
      <c r="T15">
        <v>13</v>
      </c>
      <c r="U15" s="402" t="s">
        <v>174</v>
      </c>
      <c r="V15" s="403" t="s">
        <v>72</v>
      </c>
      <c r="X15" t="str">
        <f t="shared" si="0"/>
        <v>"v": ㄫ</v>
      </c>
    </row>
    <row r="16" spans="2:24" ht="34.5">
      <c r="B16" t="s">
        <v>360</v>
      </c>
      <c r="C16" t="s">
        <v>403</v>
      </c>
      <c r="D16" t="s">
        <v>404</v>
      </c>
      <c r="E16" t="s">
        <v>404</v>
      </c>
      <c r="F16" t="s">
        <v>404</v>
      </c>
      <c r="G16" t="s">
        <v>405</v>
      </c>
      <c r="H16" t="s">
        <v>404</v>
      </c>
      <c r="I16" t="s">
        <v>406</v>
      </c>
      <c r="K16" s="150" t="s">
        <v>495</v>
      </c>
      <c r="L16" s="150" t="s">
        <v>496</v>
      </c>
      <c r="M16" s="150" t="s">
        <v>497</v>
      </c>
      <c r="N16" s="151" t="s">
        <v>498</v>
      </c>
      <c r="O16" s="150" t="s">
        <v>499</v>
      </c>
      <c r="P16" s="150" t="s">
        <v>500</v>
      </c>
      <c r="Q16" s="150" t="s">
        <v>501</v>
      </c>
      <c r="R16" s="150" t="s">
        <v>502</v>
      </c>
      <c r="T16">
        <v>14</v>
      </c>
      <c r="U16" s="402" t="s">
        <v>175</v>
      </c>
      <c r="V16" s="403" t="s">
        <v>46</v>
      </c>
      <c r="X16" t="str">
        <f t="shared" si="0"/>
        <v>"y": ㄗ</v>
      </c>
    </row>
    <row r="17" spans="2:24">
      <c r="B17" t="s">
        <v>407</v>
      </c>
      <c r="C17" t="s">
        <v>408</v>
      </c>
      <c r="D17" t="s">
        <v>409</v>
      </c>
      <c r="E17" t="s">
        <v>410</v>
      </c>
      <c r="F17" t="s">
        <v>409</v>
      </c>
      <c r="G17" t="s">
        <v>411</v>
      </c>
      <c r="H17" t="s">
        <v>409</v>
      </c>
      <c r="I17" t="s">
        <v>412</v>
      </c>
      <c r="T17">
        <v>15</v>
      </c>
      <c r="U17" s="402" t="s">
        <v>29</v>
      </c>
      <c r="V17" s="403" t="s">
        <v>106</v>
      </c>
      <c r="X17" t="str">
        <f t="shared" si="0"/>
        <v>"Y": ㆡ</v>
      </c>
    </row>
    <row r="18" spans="2:24">
      <c r="T18">
        <v>16</v>
      </c>
      <c r="U18" s="402" t="s">
        <v>95</v>
      </c>
      <c r="V18" s="403" t="s">
        <v>74</v>
      </c>
      <c r="X18" t="str">
        <f t="shared" si="0"/>
        <v>"h": ㄘ</v>
      </c>
    </row>
    <row r="19" spans="2:24">
      <c r="T19">
        <v>17</v>
      </c>
      <c r="U19" s="402" t="s">
        <v>68</v>
      </c>
      <c r="V19" s="403" t="s">
        <v>98</v>
      </c>
      <c r="X19" t="str">
        <f t="shared" si="0"/>
        <v>"n": ㄙ</v>
      </c>
    </row>
    <row r="20" spans="2:24">
      <c r="T20">
        <v>18</v>
      </c>
      <c r="U20" s="402" t="s">
        <v>77</v>
      </c>
      <c r="V20" s="403" t="s">
        <v>48</v>
      </c>
      <c r="X20" t="str">
        <f t="shared" si="0"/>
        <v>"u": ㄧ</v>
      </c>
    </row>
    <row r="21" spans="2:24">
      <c r="T21">
        <v>19</v>
      </c>
      <c r="U21" s="402" t="s">
        <v>97</v>
      </c>
      <c r="V21" s="403" t="s">
        <v>76</v>
      </c>
      <c r="X21" t="str">
        <f t="shared" si="0"/>
        <v>"j": ㄨ</v>
      </c>
    </row>
    <row r="22" spans="2:24">
      <c r="T22">
        <v>20</v>
      </c>
      <c r="U22" s="402" t="s">
        <v>66</v>
      </c>
      <c r="V22" s="403" t="s">
        <v>100</v>
      </c>
      <c r="X22" t="str">
        <f t="shared" si="0"/>
        <v>"m": ㆬ</v>
      </c>
    </row>
    <row r="23" spans="2:24">
      <c r="T23">
        <v>21</v>
      </c>
      <c r="U23" s="402">
        <v>8</v>
      </c>
      <c r="V23" s="403" t="s">
        <v>20</v>
      </c>
      <c r="X23" t="str">
        <f t="shared" si="0"/>
        <v>"8": ㄚ</v>
      </c>
    </row>
    <row r="24" spans="2:24">
      <c r="T24">
        <v>22</v>
      </c>
      <c r="U24" s="402" t="s">
        <v>49</v>
      </c>
      <c r="V24" s="403" t="s">
        <v>50</v>
      </c>
      <c r="X24" t="str">
        <f t="shared" si="0"/>
        <v>"i": ㆦ</v>
      </c>
    </row>
    <row r="25" spans="2:24">
      <c r="T25">
        <v>23</v>
      </c>
      <c r="U25" s="402" t="s">
        <v>42</v>
      </c>
      <c r="V25" s="403" t="s">
        <v>78</v>
      </c>
      <c r="X25" t="str">
        <f t="shared" si="0"/>
        <v>"k": ㄜ</v>
      </c>
    </row>
    <row r="26" spans="2:24">
      <c r="T26">
        <v>24</v>
      </c>
      <c r="U26" s="402" t="s">
        <v>180</v>
      </c>
      <c r="V26" s="403" t="s">
        <v>225</v>
      </c>
      <c r="X26" t="str">
        <f t="shared" si="0"/>
        <v>",": ㄝ</v>
      </c>
    </row>
    <row r="27" spans="2:24">
      <c r="T27">
        <v>25</v>
      </c>
      <c r="U27" s="402" t="s">
        <v>9</v>
      </c>
      <c r="V27" s="403" t="s">
        <v>54</v>
      </c>
      <c r="X27" t="str">
        <f t="shared" si="0"/>
        <v>"p": ㄣ</v>
      </c>
    </row>
    <row r="28" spans="2:24">
      <c r="T28">
        <v>26</v>
      </c>
      <c r="U28" s="402" t="s">
        <v>184</v>
      </c>
      <c r="V28" s="403" t="s">
        <v>115</v>
      </c>
      <c r="X28" t="str">
        <f t="shared" si="0"/>
        <v>"/": ㄥ</v>
      </c>
    </row>
    <row r="29" spans="2:24">
      <c r="T29">
        <v>27</v>
      </c>
      <c r="U29" s="402">
        <v>9</v>
      </c>
      <c r="V29" s="403" t="s">
        <v>22</v>
      </c>
      <c r="X29" t="str">
        <f t="shared" si="0"/>
        <v>"9": ㄞ</v>
      </c>
    </row>
    <row r="30" spans="2:24">
      <c r="T30">
        <v>28</v>
      </c>
      <c r="U30" s="402" t="s">
        <v>93</v>
      </c>
      <c r="V30" s="403" t="s">
        <v>80</v>
      </c>
      <c r="X30" t="str">
        <f t="shared" si="0"/>
        <v>"l": ㄠ</v>
      </c>
    </row>
    <row r="31" spans="2:24">
      <c r="T31">
        <v>29</v>
      </c>
      <c r="U31" s="402">
        <v>0</v>
      </c>
      <c r="V31" s="403" t="s">
        <v>23</v>
      </c>
      <c r="X31" t="str">
        <f t="shared" si="0"/>
        <v>"0": ㄢ</v>
      </c>
    </row>
    <row r="32" spans="2:24">
      <c r="T32">
        <v>30</v>
      </c>
      <c r="U32" s="402" t="s">
        <v>183</v>
      </c>
      <c r="V32" s="403" t="s">
        <v>81</v>
      </c>
      <c r="X32" t="str">
        <f t="shared" si="0"/>
        <v>";": ㄤ</v>
      </c>
    </row>
    <row r="33" spans="20:24">
      <c r="T33">
        <v>31</v>
      </c>
      <c r="U33" s="402" t="s">
        <v>30</v>
      </c>
      <c r="V33" s="403" t="s">
        <v>116</v>
      </c>
      <c r="X33" t="str">
        <f t="shared" si="0"/>
        <v>"U": ㆪ</v>
      </c>
    </row>
    <row r="34" spans="20:24">
      <c r="T34">
        <v>32</v>
      </c>
      <c r="U34" s="402" t="s">
        <v>61</v>
      </c>
      <c r="V34" s="403" t="s">
        <v>117</v>
      </c>
      <c r="X34" t="str">
        <f t="shared" si="0"/>
        <v>"J": ㆫ</v>
      </c>
    </row>
    <row r="35" spans="20:24">
      <c r="T35">
        <v>33</v>
      </c>
      <c r="U35" s="402" t="s">
        <v>177</v>
      </c>
      <c r="V35" s="403" t="s">
        <v>107</v>
      </c>
      <c r="X35" t="str">
        <f t="shared" si="0"/>
        <v>"*": ㆩ</v>
      </c>
    </row>
    <row r="36" spans="20:24">
      <c r="T36">
        <v>34</v>
      </c>
      <c r="U36" s="402" t="s">
        <v>31</v>
      </c>
      <c r="V36" s="403" t="s">
        <v>108</v>
      </c>
      <c r="X36" t="str">
        <f t="shared" si="0"/>
        <v>"I": ㆧ</v>
      </c>
    </row>
    <row r="37" spans="20:24">
      <c r="T37">
        <v>35</v>
      </c>
      <c r="U37" s="402" t="s">
        <v>181</v>
      </c>
      <c r="V37" s="403" t="s">
        <v>110</v>
      </c>
      <c r="X37" t="str">
        <f t="shared" si="0"/>
        <v>"&lt;": ㆥ</v>
      </c>
    </row>
    <row r="38" spans="20:24">
      <c r="T38">
        <v>36</v>
      </c>
      <c r="U38" s="402" t="s">
        <v>179</v>
      </c>
      <c r="V38" s="403" t="s">
        <v>111</v>
      </c>
      <c r="X38" t="str">
        <f t="shared" si="0"/>
        <v>"(": ㆮ</v>
      </c>
    </row>
    <row r="39" spans="20:24">
      <c r="T39">
        <v>37</v>
      </c>
      <c r="U39" s="402" t="s">
        <v>63</v>
      </c>
      <c r="V39" s="403" t="s">
        <v>112</v>
      </c>
      <c r="X39" t="str">
        <f t="shared" si="0"/>
        <v>"L": ㆯ</v>
      </c>
    </row>
    <row r="40" spans="20:24">
      <c r="T40">
        <v>38</v>
      </c>
      <c r="U40" s="402" t="s">
        <v>172</v>
      </c>
      <c r="V40" s="403" t="s">
        <v>101</v>
      </c>
      <c r="X40" t="str">
        <f t="shared" si="0"/>
        <v>"r": ㆲ</v>
      </c>
    </row>
    <row r="41" spans="20:24">
      <c r="T41">
        <v>39</v>
      </c>
      <c r="U41" s="402" t="s">
        <v>173</v>
      </c>
      <c r="V41" s="403" t="s">
        <v>114</v>
      </c>
      <c r="X41" t="str">
        <f t="shared" si="0"/>
        <v>"f": ㆱ</v>
      </c>
    </row>
    <row r="42" spans="20:24">
      <c r="T42">
        <v>40</v>
      </c>
      <c r="U42" s="402" t="s">
        <v>174</v>
      </c>
      <c r="V42" s="403" t="s">
        <v>113</v>
      </c>
      <c r="X42" t="str">
        <f t="shared" si="0"/>
        <v>"v": ㆰ</v>
      </c>
    </row>
    <row r="43" spans="20:24">
      <c r="T43">
        <v>41</v>
      </c>
      <c r="U43" s="402" t="s">
        <v>165</v>
      </c>
      <c r="V43" s="403" t="s">
        <v>813</v>
      </c>
      <c r="X43" t="str">
        <f t="shared" si="0"/>
        <v>"z": 声</v>
      </c>
    </row>
    <row r="44" spans="20:24">
      <c r="T44">
        <v>42</v>
      </c>
      <c r="U44" s="402" t="s">
        <v>118</v>
      </c>
      <c r="V44" s="403" t="s">
        <v>710</v>
      </c>
      <c r="X44" t="str">
        <f t="shared" si="0"/>
        <v>" ": ˉ</v>
      </c>
    </row>
    <row r="45" spans="20:24">
      <c r="T45">
        <v>43</v>
      </c>
      <c r="U45" s="402">
        <v>4</v>
      </c>
      <c r="V45" s="403" t="s">
        <v>14</v>
      </c>
      <c r="X45" t="str">
        <f t="shared" si="0"/>
        <v>"4": ˋ</v>
      </c>
    </row>
    <row r="46" spans="20:24">
      <c r="T46">
        <v>44</v>
      </c>
      <c r="U46" s="402">
        <v>3</v>
      </c>
      <c r="V46" s="403" t="s">
        <v>12</v>
      </c>
      <c r="X46" t="str">
        <f t="shared" si="0"/>
        <v>"3": ˪</v>
      </c>
    </row>
    <row r="47" spans="20:24">
      <c r="T47">
        <v>45</v>
      </c>
      <c r="U47" s="402">
        <v>6</v>
      </c>
      <c r="V47" s="403" t="s">
        <v>18</v>
      </c>
      <c r="X47" t="str">
        <f t="shared" si="0"/>
        <v>"6": ˊ</v>
      </c>
    </row>
    <row r="48" spans="20:24">
      <c r="T48">
        <v>46</v>
      </c>
      <c r="U48" s="402">
        <v>5</v>
      </c>
      <c r="V48" s="403" t="s">
        <v>16</v>
      </c>
      <c r="X48" t="str">
        <f t="shared" si="0"/>
        <v>"5": ˫</v>
      </c>
    </row>
    <row r="49" spans="20:24">
      <c r="T49">
        <v>47</v>
      </c>
      <c r="U49" s="402">
        <v>7</v>
      </c>
      <c r="V49" s="403" t="s">
        <v>812</v>
      </c>
      <c r="X49" t="str">
        <f t="shared" si="0"/>
        <v>"7": ．</v>
      </c>
    </row>
    <row r="50" spans="20:24">
      <c r="T50">
        <v>48</v>
      </c>
    </row>
    <row r="51" spans="20:24">
      <c r="T51">
        <v>49</v>
      </c>
    </row>
    <row r="52" spans="20:24">
      <c r="T52">
        <v>50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C1E4-93BA-434B-A1EB-F80A40531DAF}">
  <sheetPr>
    <tabColor rgb="FFFFC000"/>
  </sheetPr>
  <dimension ref="A1:BP63"/>
  <sheetViews>
    <sheetView topLeftCell="N1" workbookViewId="0"/>
  </sheetViews>
  <sheetFormatPr defaultColWidth="7.19921875" defaultRowHeight="25.5"/>
  <cols>
    <col min="1" max="1" width="2.19921875" style="404" customWidth="1"/>
    <col min="2" max="59" width="5.796875" style="404" customWidth="1"/>
    <col min="60" max="61" width="7.19921875" style="404"/>
    <col min="62" max="65" width="11.296875" style="404" customWidth="1"/>
    <col min="66" max="67" width="7.19921875" style="404"/>
    <col min="68" max="68" width="27.296875" style="405" customWidth="1"/>
    <col min="69" max="16384" width="7.19921875" style="404"/>
  </cols>
  <sheetData>
    <row r="1" spans="1:68" ht="17.100000000000001" customHeight="1" thickBot="1">
      <c r="A1" s="510"/>
      <c r="B1" s="510"/>
      <c r="C1" s="510"/>
      <c r="D1" s="510"/>
      <c r="E1" s="510"/>
      <c r="F1" s="510"/>
      <c r="G1" s="510"/>
      <c r="H1" s="510"/>
      <c r="I1" s="510"/>
      <c r="J1" s="510"/>
      <c r="K1" s="510"/>
      <c r="L1" s="510"/>
      <c r="M1" s="510"/>
      <c r="N1" s="510"/>
      <c r="O1" s="510"/>
      <c r="P1" s="510"/>
      <c r="Q1" s="510"/>
      <c r="R1" s="510"/>
      <c r="S1" s="510"/>
      <c r="T1" s="510"/>
      <c r="U1" s="510"/>
      <c r="V1" s="510"/>
      <c r="W1" s="510"/>
      <c r="X1" s="510"/>
      <c r="Y1" s="510"/>
      <c r="Z1" s="510"/>
      <c r="AA1" s="510"/>
      <c r="AB1" s="510"/>
      <c r="AC1" s="510"/>
      <c r="AD1" s="510"/>
      <c r="AE1" s="510"/>
      <c r="AF1" s="510"/>
      <c r="AG1" s="510"/>
      <c r="AH1" s="510"/>
      <c r="AI1" s="510"/>
      <c r="AJ1" s="510"/>
      <c r="AK1" s="510"/>
      <c r="AL1" s="510"/>
      <c r="AM1" s="510"/>
      <c r="AN1" s="510"/>
      <c r="AO1" s="510"/>
      <c r="AP1" s="510"/>
      <c r="AQ1" s="510"/>
      <c r="AR1" s="435"/>
      <c r="AS1" s="435"/>
      <c r="AT1" s="510"/>
      <c r="AU1" s="510"/>
      <c r="AV1" s="510"/>
    </row>
    <row r="2" spans="1:68" s="465" customFormat="1" ht="31.5" customHeight="1" thickBot="1">
      <c r="A2" s="476"/>
      <c r="B2" s="560" t="s">
        <v>901</v>
      </c>
      <c r="C2" s="561"/>
      <c r="D2" s="562"/>
      <c r="E2" s="560" t="s">
        <v>0</v>
      </c>
      <c r="F2" s="561"/>
      <c r="G2" s="562"/>
      <c r="H2" s="575" t="s">
        <v>1</v>
      </c>
      <c r="I2" s="576"/>
      <c r="J2" s="577"/>
      <c r="K2" s="575" t="s">
        <v>2</v>
      </c>
      <c r="L2" s="576"/>
      <c r="M2" s="577"/>
      <c r="N2" s="578">
        <v>0.05</v>
      </c>
      <c r="O2" s="579"/>
      <c r="P2" s="580"/>
      <c r="Q2" s="575" t="s">
        <v>3</v>
      </c>
      <c r="R2" s="576"/>
      <c r="S2" s="577"/>
      <c r="T2" s="575" t="s">
        <v>4</v>
      </c>
      <c r="U2" s="576"/>
      <c r="V2" s="577"/>
      <c r="W2" s="568" t="s">
        <v>900</v>
      </c>
      <c r="X2" s="569"/>
      <c r="Y2" s="570"/>
      <c r="Z2" s="568" t="s">
        <v>899</v>
      </c>
      <c r="AA2" s="569"/>
      <c r="AB2" s="570"/>
      <c r="AC2" s="568" t="s">
        <v>5</v>
      </c>
      <c r="AD2" s="569"/>
      <c r="AE2" s="570"/>
      <c r="AF2" s="563" t="s">
        <v>6</v>
      </c>
      <c r="AG2" s="564"/>
      <c r="AH2" s="565"/>
      <c r="AI2" s="563" t="s">
        <v>7</v>
      </c>
      <c r="AJ2" s="564"/>
      <c r="AK2" s="565"/>
      <c r="AL2" s="476"/>
      <c r="AM2" s="476"/>
      <c r="AN2" s="476"/>
      <c r="AO2" s="476"/>
      <c r="AP2" s="476"/>
      <c r="AQ2" s="476"/>
      <c r="AR2" s="477"/>
      <c r="AS2" s="477"/>
      <c r="AT2" s="476"/>
      <c r="AU2" s="476"/>
      <c r="AV2" s="476"/>
      <c r="BI2" s="509" t="s">
        <v>103</v>
      </c>
      <c r="BJ2" s="508" t="s">
        <v>104</v>
      </c>
      <c r="BK2" s="523" t="s">
        <v>844</v>
      </c>
      <c r="BL2" s="524" t="s">
        <v>873</v>
      </c>
      <c r="BM2" s="507" t="s">
        <v>167</v>
      </c>
      <c r="BP2" s="405"/>
    </row>
    <row r="3" spans="1:68" s="465" customFormat="1" ht="31.5" customHeight="1" thickTop="1">
      <c r="A3" s="476"/>
      <c r="B3" s="489" t="str">
        <f>F17</f>
        <v>ㆠ</v>
      </c>
      <c r="C3" s="486"/>
      <c r="D3" s="485" t="s">
        <v>561</v>
      </c>
      <c r="E3" s="487"/>
      <c r="F3" s="486"/>
      <c r="G3" s="485"/>
      <c r="H3" s="503"/>
      <c r="I3" s="502"/>
      <c r="J3" s="501"/>
      <c r="K3" s="503"/>
      <c r="L3" s="502"/>
      <c r="M3" s="501"/>
      <c r="N3" s="506"/>
      <c r="O3" s="505"/>
      <c r="P3" s="504"/>
      <c r="Q3" s="503"/>
      <c r="R3" s="502"/>
      <c r="S3" s="501"/>
      <c r="T3" s="503"/>
      <c r="U3" s="502"/>
      <c r="V3" s="501"/>
      <c r="W3" s="484" t="str">
        <f>AD17</f>
        <v>ㆩ</v>
      </c>
      <c r="X3" s="482"/>
      <c r="Y3" s="481" t="s">
        <v>898</v>
      </c>
      <c r="Z3" s="484" t="str">
        <f>AK17</f>
        <v>ㆮ</v>
      </c>
      <c r="AA3" s="482"/>
      <c r="AB3" s="481" t="s">
        <v>897</v>
      </c>
      <c r="AC3" s="483"/>
      <c r="AD3" s="482"/>
      <c r="AE3" s="481"/>
      <c r="AF3" s="494"/>
      <c r="AG3" s="479"/>
      <c r="AH3" s="478"/>
      <c r="AI3" s="494"/>
      <c r="AJ3" s="479"/>
      <c r="AK3" s="478"/>
      <c r="AL3" s="476"/>
      <c r="AM3" s="476"/>
      <c r="AN3" s="476"/>
      <c r="AO3" s="476"/>
      <c r="AP3" s="476"/>
      <c r="AQ3" s="476"/>
      <c r="AR3" s="477"/>
      <c r="AS3" s="477"/>
      <c r="AT3" s="476"/>
      <c r="AU3" s="476"/>
      <c r="AV3" s="476"/>
      <c r="BI3" s="411">
        <v>1</v>
      </c>
      <c r="BJ3" s="410" t="str" cm="1">
        <f t="array" aca="1" ref="BJ3" ca="1" xml:space="preserve"> INDIRECT( ADDRESS( ROW($C$17), COLUMN($C$17) +$BI3) )</f>
        <v>ㄅ</v>
      </c>
      <c r="BK3" s="409" t="str" cm="1">
        <f t="array" aca="1" ref="BK3" ca="1" xml:space="preserve"> INDIRECT( ADDRESS( ROW($C$19), COLUMN($C$19) +$BI3) )</f>
        <v>p</v>
      </c>
      <c r="BL3" s="408" t="str" cm="1">
        <f t="array" aca="1" ref="BL3" ca="1" xml:space="preserve"> INDIRECT( ADDRESS( ROW($C$18), COLUMN($C$18) +$BI3) )</f>
        <v>p</v>
      </c>
      <c r="BM3" s="407" t="str" cm="1">
        <f t="array" aca="1" ref="BM3" ca="1" xml:space="preserve"> INDIRECT( ADDRESS( ROW($C$16), COLUMN($C$16) +$BI3) )</f>
        <v>1</v>
      </c>
      <c r="BP3" s="517" t="str">
        <f ca="1" xml:space="preserve"> """" &amp; BM3 &amp; """: { commit: """ &amp; BJ3 &amp; """ }"</f>
        <v>"1": { commit: "ㄅ" }</v>
      </c>
    </row>
    <row r="4" spans="1:68" ht="31.5" customHeight="1" thickBot="1">
      <c r="A4" s="434"/>
      <c r="B4" s="474" t="str">
        <f>D17</f>
        <v>ㄅ</v>
      </c>
      <c r="C4" s="473"/>
      <c r="D4" s="500" t="s">
        <v>191</v>
      </c>
      <c r="E4" s="474" t="str">
        <f>H17</f>
        <v>ㄉ</v>
      </c>
      <c r="F4" s="473"/>
      <c r="G4" s="472" t="s">
        <v>11</v>
      </c>
      <c r="H4" s="571" t="s">
        <v>12</v>
      </c>
      <c r="I4" s="572"/>
      <c r="J4" s="499" t="s">
        <v>13</v>
      </c>
      <c r="K4" s="571" t="s">
        <v>14</v>
      </c>
      <c r="L4" s="572"/>
      <c r="M4" s="499" t="s">
        <v>15</v>
      </c>
      <c r="N4" s="571" t="s">
        <v>16</v>
      </c>
      <c r="O4" s="572"/>
      <c r="P4" s="499" t="s">
        <v>17</v>
      </c>
      <c r="Q4" s="571" t="s">
        <v>18</v>
      </c>
      <c r="R4" s="572"/>
      <c r="S4" s="499" t="s">
        <v>19</v>
      </c>
      <c r="T4" s="571" t="s">
        <v>896</v>
      </c>
      <c r="U4" s="572"/>
      <c r="V4" s="499" t="s">
        <v>895</v>
      </c>
      <c r="W4" s="468" t="str">
        <f>AC17</f>
        <v>ㄚ</v>
      </c>
      <c r="X4" s="467"/>
      <c r="Y4" s="471" t="s">
        <v>137</v>
      </c>
      <c r="Z4" s="468" t="str">
        <f>AJ17</f>
        <v>ㄞ</v>
      </c>
      <c r="AA4" s="467"/>
      <c r="AB4" s="471" t="s">
        <v>143</v>
      </c>
      <c r="AC4" s="468" t="str">
        <f>AS17</f>
        <v>ㄢ</v>
      </c>
      <c r="AD4" s="491"/>
      <c r="AE4" s="469" t="s">
        <v>509</v>
      </c>
      <c r="AF4" s="497" t="s">
        <v>894</v>
      </c>
      <c r="AG4" s="491"/>
      <c r="AH4" s="469" t="s">
        <v>814</v>
      </c>
      <c r="AI4" s="566"/>
      <c r="AJ4" s="567"/>
      <c r="AK4" s="490"/>
      <c r="AL4" s="434"/>
      <c r="AM4" s="434"/>
      <c r="AN4" s="434"/>
      <c r="AO4" s="434"/>
      <c r="AP4" s="434"/>
      <c r="AQ4" s="434"/>
      <c r="AR4" s="435"/>
      <c r="AS4" s="435"/>
      <c r="AT4" s="434"/>
      <c r="AU4" s="434"/>
      <c r="AV4" s="434"/>
      <c r="BI4" s="411">
        <v>2</v>
      </c>
      <c r="BJ4" s="410" t="str" cm="1">
        <f t="array" aca="1" ref="BJ4" ca="1" xml:space="preserve"> INDIRECT( ADDRESS( ROW($C$17), COLUMN($C$17) +$BI4) )</f>
        <v>ㄆ</v>
      </c>
      <c r="BK4" s="409" t="str" cm="1">
        <f t="array" aca="1" ref="BK4" ca="1" xml:space="preserve"> INDIRECT( ADDRESS( ROW($C$19), COLUMN($C$19) +$BI4) )</f>
        <v>ph</v>
      </c>
      <c r="BL4" s="408" t="str" cm="1">
        <f t="array" aca="1" ref="BL4" ca="1" xml:space="preserve"> INDIRECT( ADDRESS( ROW($C$18), COLUMN($C$18) +$BI4) )</f>
        <v>P</v>
      </c>
      <c r="BM4" s="407" t="str" cm="1">
        <f t="array" aca="1" ref="BM4" ca="1" xml:space="preserve"> INDIRECT( ADDRESS( ROW($C$16), COLUMN($C$16) +$BI4) )</f>
        <v>q</v>
      </c>
      <c r="BP4" s="517" t="str">
        <f t="shared" ref="BP4:BP54" ca="1" si="0" xml:space="preserve"> """" &amp; BM4 &amp; """: { commit: """ &amp; BJ4 &amp; """ }"</f>
        <v>"q": { commit: "ㄆ" }</v>
      </c>
    </row>
    <row r="5" spans="1:68" s="465" customFormat="1" ht="31.5" customHeight="1">
      <c r="A5" s="476"/>
      <c r="B5" s="476"/>
      <c r="C5" s="560" t="s">
        <v>24</v>
      </c>
      <c r="D5" s="561"/>
      <c r="E5" s="562"/>
      <c r="F5" s="560" t="s">
        <v>25</v>
      </c>
      <c r="G5" s="561"/>
      <c r="H5" s="562"/>
      <c r="I5" s="560" t="s">
        <v>26</v>
      </c>
      <c r="J5" s="561"/>
      <c r="K5" s="562"/>
      <c r="L5" s="560" t="s">
        <v>27</v>
      </c>
      <c r="M5" s="561"/>
      <c r="N5" s="562"/>
      <c r="O5" s="560" t="s">
        <v>28</v>
      </c>
      <c r="P5" s="561"/>
      <c r="Q5" s="562"/>
      <c r="R5" s="560" t="s">
        <v>29</v>
      </c>
      <c r="S5" s="561"/>
      <c r="T5" s="562"/>
      <c r="U5" s="568" t="s">
        <v>30</v>
      </c>
      <c r="V5" s="569"/>
      <c r="W5" s="570"/>
      <c r="X5" s="568" t="s">
        <v>31</v>
      </c>
      <c r="Y5" s="569"/>
      <c r="Z5" s="570"/>
      <c r="AA5" s="568" t="s">
        <v>32</v>
      </c>
      <c r="AB5" s="569"/>
      <c r="AC5" s="570"/>
      <c r="AD5" s="568" t="s">
        <v>33</v>
      </c>
      <c r="AE5" s="569"/>
      <c r="AF5" s="570"/>
      <c r="AG5" s="568" t="s">
        <v>34</v>
      </c>
      <c r="AH5" s="569"/>
      <c r="AI5" s="570"/>
      <c r="AJ5" s="568" t="s">
        <v>35</v>
      </c>
      <c r="AK5" s="569"/>
      <c r="AL5" s="570"/>
      <c r="AM5" s="563" t="s">
        <v>36</v>
      </c>
      <c r="AN5" s="564"/>
      <c r="AO5" s="565"/>
      <c r="AP5" s="476"/>
      <c r="AQ5" s="476"/>
      <c r="AR5" s="477"/>
      <c r="AS5" s="477"/>
      <c r="AT5" s="476"/>
      <c r="AU5" s="476"/>
      <c r="AV5" s="476"/>
      <c r="BI5" s="411">
        <v>3</v>
      </c>
      <c r="BJ5" s="410" t="str" cm="1">
        <f t="array" aca="1" ref="BJ5" ca="1" xml:space="preserve"> INDIRECT( ADDRESS( ROW($C$17), COLUMN($C$17) +$BI5) )</f>
        <v>ㆠ</v>
      </c>
      <c r="BK5" s="409" t="str" cm="1">
        <f t="array" aca="1" ref="BK5" ca="1" xml:space="preserve"> INDIRECT( ADDRESS( ROW($C$19), COLUMN($C$19) +$BI5) )</f>
        <v>b</v>
      </c>
      <c r="BL5" s="408" t="str" cm="1">
        <f t="array" aca="1" ref="BL5" ca="1" xml:space="preserve"> INDIRECT( ADDRESS( ROW($C$18), COLUMN($C$18) +$BI5) )</f>
        <v>b</v>
      </c>
      <c r="BM5" s="407" t="str" cm="1">
        <f t="array" aca="1" ref="BM5" ca="1" xml:space="preserve"> INDIRECT( ADDRESS( ROW($C$16), COLUMN($C$16) +$BI5) )</f>
        <v>!</v>
      </c>
      <c r="BP5" s="517" t="str">
        <f t="shared" ca="1" si="0"/>
        <v>"!": { commit: "ㆠ" }</v>
      </c>
    </row>
    <row r="6" spans="1:68" s="465" customFormat="1" ht="31.5" customHeight="1">
      <c r="A6" s="476"/>
      <c r="B6" s="476"/>
      <c r="C6" s="487"/>
      <c r="D6" s="486"/>
      <c r="E6" s="485"/>
      <c r="F6" s="487"/>
      <c r="G6" s="486"/>
      <c r="H6" s="485"/>
      <c r="I6" s="489" t="str">
        <f>N17</f>
        <v>ㆣ</v>
      </c>
      <c r="J6" s="486"/>
      <c r="K6" s="485" t="s">
        <v>559</v>
      </c>
      <c r="L6" s="489" t="str">
        <f>V17</f>
        <v>ㆢ</v>
      </c>
      <c r="M6" s="486"/>
      <c r="N6" s="485" t="s">
        <v>893</v>
      </c>
      <c r="O6" s="487"/>
      <c r="P6" s="486"/>
      <c r="Q6" s="485"/>
      <c r="R6" s="489" t="str">
        <f>R17</f>
        <v>ㆡ</v>
      </c>
      <c r="S6" s="486"/>
      <c r="T6" s="485" t="s">
        <v>569</v>
      </c>
      <c r="U6" s="484" t="str">
        <f>Z17</f>
        <v>ㆪ</v>
      </c>
      <c r="V6" s="482"/>
      <c r="W6" s="481" t="s">
        <v>892</v>
      </c>
      <c r="X6" s="484" t="str">
        <f>AF17</f>
        <v>ㆧ</v>
      </c>
      <c r="Y6" s="482"/>
      <c r="Z6" s="481" t="s">
        <v>891</v>
      </c>
      <c r="AA6" s="484"/>
      <c r="AB6" s="482"/>
      <c r="AC6" s="481"/>
      <c r="AD6" s="483"/>
      <c r="AE6" s="482"/>
      <c r="AF6" s="481"/>
      <c r="AG6" s="483"/>
      <c r="AH6" s="482"/>
      <c r="AI6" s="481"/>
      <c r="AJ6" s="483"/>
      <c r="AK6" s="482"/>
      <c r="AL6" s="481"/>
      <c r="AM6" s="494"/>
      <c r="AN6" s="479"/>
      <c r="AO6" s="478"/>
      <c r="AP6" s="476"/>
      <c r="AQ6" s="476"/>
      <c r="AR6" s="477"/>
      <c r="AS6" s="477"/>
      <c r="AT6" s="476"/>
      <c r="AU6" s="476"/>
      <c r="AV6" s="476"/>
      <c r="BI6" s="411">
        <v>4</v>
      </c>
      <c r="BJ6" s="410" t="str" cm="1">
        <f t="array" aca="1" ref="BJ6" ca="1" xml:space="preserve"> INDIRECT( ADDRESS( ROW($C$17), COLUMN($C$17) +$BI6) )</f>
        <v>ㄇ</v>
      </c>
      <c r="BK6" s="409" t="str" cm="1">
        <f t="array" aca="1" ref="BK6" ca="1" xml:space="preserve"> INDIRECT( ADDRESS( ROW($C$19), COLUMN($C$19) +$BI6) )</f>
        <v>m</v>
      </c>
      <c r="BL6" s="408" t="str" cm="1">
        <f t="array" aca="1" ref="BL6" ca="1" xml:space="preserve"> INDIRECT( ADDRESS( ROW($C$18), COLUMN($C$18) +$BI6) )</f>
        <v>m</v>
      </c>
      <c r="BM6" s="407" t="str" cm="1">
        <f t="array" aca="1" ref="BM6" ca="1" xml:space="preserve"> INDIRECT( ADDRESS( ROW($C$16), COLUMN($C$16) +$BI6) )</f>
        <v>a</v>
      </c>
      <c r="BP6" s="517" t="str">
        <f t="shared" ca="1" si="0"/>
        <v>"a": { commit: "ㄇ" }</v>
      </c>
    </row>
    <row r="7" spans="1:68" ht="31.5" customHeight="1" thickBot="1">
      <c r="A7" s="434"/>
      <c r="B7" s="434"/>
      <c r="C7" s="474" t="str">
        <f>E17</f>
        <v>ㄆ</v>
      </c>
      <c r="D7" s="473"/>
      <c r="E7" s="472" t="s">
        <v>38</v>
      </c>
      <c r="F7" s="474" t="str">
        <f>I17</f>
        <v>ㄊ</v>
      </c>
      <c r="G7" s="473"/>
      <c r="H7" s="472" t="s">
        <v>40</v>
      </c>
      <c r="I7" s="474" t="str">
        <f>L17</f>
        <v>ㄍ</v>
      </c>
      <c r="J7" s="473"/>
      <c r="K7" s="498" t="s">
        <v>573</v>
      </c>
      <c r="L7" s="474" t="str">
        <f>T17</f>
        <v>ㄐ</v>
      </c>
      <c r="M7" s="473"/>
      <c r="N7" s="498" t="s">
        <v>548</v>
      </c>
      <c r="O7" s="474"/>
      <c r="P7" s="473"/>
      <c r="Q7" s="472"/>
      <c r="R7" s="474" t="str">
        <f>P17</f>
        <v>ㄗ</v>
      </c>
      <c r="S7" s="473"/>
      <c r="T7" s="498" t="s">
        <v>205</v>
      </c>
      <c r="U7" s="497" t="s">
        <v>48</v>
      </c>
      <c r="V7" s="467"/>
      <c r="W7" s="471" t="s">
        <v>154</v>
      </c>
      <c r="X7" s="468" t="str">
        <f>AE17</f>
        <v>ㆦ</v>
      </c>
      <c r="Y7" s="467"/>
      <c r="Z7" s="469" t="s">
        <v>51</v>
      </c>
      <c r="AA7" s="468"/>
      <c r="AB7" s="467"/>
      <c r="AC7" s="471"/>
      <c r="AD7" s="468" t="str">
        <f>AO17</f>
        <v>ㄣ</v>
      </c>
      <c r="AE7" s="491"/>
      <c r="AF7" s="496" t="str">
        <f>AO19</f>
        <v>-n</v>
      </c>
      <c r="AG7" s="566"/>
      <c r="AH7" s="567"/>
      <c r="AI7" s="490"/>
      <c r="AJ7" s="566"/>
      <c r="AK7" s="567"/>
      <c r="AL7" s="490"/>
      <c r="AM7" s="566"/>
      <c r="AN7" s="567"/>
      <c r="AO7" s="490"/>
      <c r="AP7" s="434"/>
      <c r="AQ7" s="434"/>
      <c r="AR7" s="435"/>
      <c r="AS7" s="435"/>
      <c r="AT7" s="434"/>
      <c r="AU7" s="434"/>
      <c r="AV7" s="434"/>
      <c r="BI7" s="411">
        <v>5</v>
      </c>
      <c r="BJ7" s="410" t="str" cm="1">
        <f t="array" aca="1" ref="BJ7" ca="1" xml:space="preserve"> INDIRECT( ADDRESS( ROW($C$17), COLUMN($C$17) +$BI7) )</f>
        <v>ㄉ</v>
      </c>
      <c r="BK7" s="409" t="str" cm="1">
        <f t="array" aca="1" ref="BK7" ca="1" xml:space="preserve"> INDIRECT( ADDRESS( ROW($C$19), COLUMN($C$19) +$BI7) )</f>
        <v>t</v>
      </c>
      <c r="BL7" s="408" t="str" cm="1">
        <f t="array" aca="1" ref="BL7" ca="1" xml:space="preserve"> INDIRECT( ADDRESS( ROW($C$18), COLUMN($C$18) +$BI7) )</f>
        <v>t</v>
      </c>
      <c r="BM7" s="407" t="str" cm="1">
        <f t="array" aca="1" ref="BM7" ca="1" xml:space="preserve"> INDIRECT( ADDRESS( ROW($C$16), COLUMN($C$16) +$BI7) )</f>
        <v>2</v>
      </c>
      <c r="BP7" s="517" t="str">
        <f t="shared" ca="1" si="0"/>
        <v>"2": { commit: "ㄉ" }</v>
      </c>
    </row>
    <row r="8" spans="1:68" s="465" customFormat="1" ht="31.5" customHeight="1">
      <c r="A8" s="476"/>
      <c r="B8" s="476"/>
      <c r="C8" s="495"/>
      <c r="D8" s="560" t="s">
        <v>210</v>
      </c>
      <c r="E8" s="561"/>
      <c r="F8" s="562"/>
      <c r="G8" s="560" t="s">
        <v>56</v>
      </c>
      <c r="H8" s="561"/>
      <c r="I8" s="562"/>
      <c r="J8" s="560" t="s">
        <v>57</v>
      </c>
      <c r="K8" s="561"/>
      <c r="L8" s="562"/>
      <c r="M8" s="560" t="s">
        <v>58</v>
      </c>
      <c r="N8" s="561"/>
      <c r="O8" s="562"/>
      <c r="P8" s="560" t="s">
        <v>59</v>
      </c>
      <c r="Q8" s="561"/>
      <c r="R8" s="562"/>
      <c r="S8" s="560" t="s">
        <v>60</v>
      </c>
      <c r="T8" s="561"/>
      <c r="U8" s="562"/>
      <c r="V8" s="568" t="s">
        <v>61</v>
      </c>
      <c r="W8" s="569"/>
      <c r="X8" s="570"/>
      <c r="Y8" s="568" t="s">
        <v>62</v>
      </c>
      <c r="Z8" s="569"/>
      <c r="AA8" s="570"/>
      <c r="AB8" s="568" t="s">
        <v>63</v>
      </c>
      <c r="AC8" s="569"/>
      <c r="AD8" s="570"/>
      <c r="AE8" s="568" t="s">
        <v>64</v>
      </c>
      <c r="AF8" s="569"/>
      <c r="AG8" s="570"/>
      <c r="AH8" s="563" t="s">
        <v>65</v>
      </c>
      <c r="AI8" s="564"/>
      <c r="AJ8" s="565"/>
      <c r="AK8" s="476"/>
      <c r="AL8" s="476"/>
      <c r="AM8" s="476"/>
      <c r="AN8" s="476"/>
      <c r="AO8" s="476"/>
      <c r="AP8" s="476"/>
      <c r="AQ8" s="476"/>
      <c r="AR8" s="477"/>
      <c r="AS8" s="477"/>
      <c r="AT8" s="476"/>
      <c r="AU8" s="476"/>
      <c r="AV8" s="476"/>
      <c r="BI8" s="411">
        <v>6</v>
      </c>
      <c r="BJ8" s="410" t="str" cm="1">
        <f t="array" aca="1" ref="BJ8" ca="1" xml:space="preserve"> INDIRECT( ADDRESS( ROW($C$17), COLUMN($C$17) +$BI8) )</f>
        <v>ㄊ</v>
      </c>
      <c r="BK8" s="409" t="str" cm="1">
        <f t="array" aca="1" ref="BK8" ca="1" xml:space="preserve"> INDIRECT( ADDRESS( ROW($C$19), COLUMN($C$19) +$BI8) )</f>
        <v>th</v>
      </c>
      <c r="BL8" s="408" t="str" cm="1">
        <f t="array" aca="1" ref="BL8" ca="1" xml:space="preserve"> INDIRECT( ADDRESS( ROW($C$18), COLUMN($C$18) +$BI8) )</f>
        <v>T</v>
      </c>
      <c r="BM8" s="407" t="str" cm="1">
        <f t="array" aca="1" ref="BM8" ca="1" xml:space="preserve"> INDIRECT( ADDRESS( ROW($C$16), COLUMN($C$16) +$BI8) )</f>
        <v>w</v>
      </c>
      <c r="BP8" s="517" t="str">
        <f t="shared" ca="1" si="0"/>
        <v>"w": { commit: "ㄊ" }</v>
      </c>
    </row>
    <row r="9" spans="1:68" s="465" customFormat="1" ht="31.5" customHeight="1">
      <c r="A9" s="476"/>
      <c r="B9" s="476"/>
      <c r="C9" s="495"/>
      <c r="D9" s="487"/>
      <c r="E9" s="486"/>
      <c r="F9" s="485"/>
      <c r="G9" s="487"/>
      <c r="H9" s="486"/>
      <c r="I9" s="485"/>
      <c r="J9" s="487"/>
      <c r="K9" s="486"/>
      <c r="L9" s="485"/>
      <c r="M9" s="487"/>
      <c r="N9" s="486"/>
      <c r="O9" s="485"/>
      <c r="P9" s="487"/>
      <c r="Q9" s="486"/>
      <c r="R9" s="485"/>
      <c r="S9" s="487"/>
      <c r="T9" s="486"/>
      <c r="U9" s="485"/>
      <c r="V9" s="484" t="str">
        <f>AB17</f>
        <v>ㆫ</v>
      </c>
      <c r="W9" s="482"/>
      <c r="X9" s="481" t="s">
        <v>890</v>
      </c>
      <c r="Y9" s="483"/>
      <c r="Z9" s="482"/>
      <c r="AA9" s="481"/>
      <c r="AB9" s="484" t="str">
        <f>AM17</f>
        <v>ㆯ</v>
      </c>
      <c r="AC9" s="482"/>
      <c r="AD9" s="481" t="s">
        <v>889</v>
      </c>
      <c r="AE9" s="484" t="str">
        <f>AT17</f>
        <v>ㆲ</v>
      </c>
      <c r="AF9" s="482"/>
      <c r="AG9" s="516" t="str">
        <f>AT19</f>
        <v>ong</v>
      </c>
      <c r="AH9" s="494"/>
      <c r="AI9" s="479"/>
      <c r="AJ9" s="478"/>
      <c r="AK9" s="476"/>
      <c r="AL9" s="476"/>
      <c r="AM9" s="476"/>
      <c r="AN9" s="476"/>
      <c r="AO9" s="476"/>
      <c r="AP9" s="476"/>
      <c r="AQ9" s="476"/>
      <c r="AR9" s="477"/>
      <c r="AS9" s="477"/>
      <c r="AT9" s="476"/>
      <c r="AU9" s="476"/>
      <c r="AV9" s="476"/>
      <c r="BI9" s="411">
        <v>7</v>
      </c>
      <c r="BJ9" s="410" t="str" cm="1">
        <f t="array" aca="1" ref="BJ9" ca="1" xml:space="preserve"> INDIRECT( ADDRESS( ROW($C$17), COLUMN($C$17) +$BI9) )</f>
        <v>ㄋ</v>
      </c>
      <c r="BK9" s="409" t="str" cm="1">
        <f t="array" aca="1" ref="BK9" ca="1" xml:space="preserve"> INDIRECT( ADDRESS( ROW($C$19), COLUMN($C$19) +$BI9) )</f>
        <v>n</v>
      </c>
      <c r="BL9" s="408" t="str" cm="1">
        <f t="array" aca="1" ref="BL9" ca="1" xml:space="preserve"> INDIRECT( ADDRESS( ROW($C$18), COLUMN($C$18) +$BI9) )</f>
        <v>n</v>
      </c>
      <c r="BM9" s="407" t="str" cm="1">
        <f t="array" aca="1" ref="BM9" ca="1" xml:space="preserve"> INDIRECT( ADDRESS( ROW($C$16), COLUMN($C$16) +$BI9) )</f>
        <v>s</v>
      </c>
      <c r="BP9" s="517" t="str">
        <f t="shared" ca="1" si="0"/>
        <v>"s": { commit: "ㄋ" }</v>
      </c>
    </row>
    <row r="10" spans="1:68" ht="31.5" customHeight="1" thickBot="1">
      <c r="A10" s="434"/>
      <c r="B10" s="434"/>
      <c r="C10" s="434"/>
      <c r="D10" s="474" t="str">
        <f>G17</f>
        <v>ㄇ</v>
      </c>
      <c r="E10" s="473"/>
      <c r="F10" s="472" t="s">
        <v>66</v>
      </c>
      <c r="G10" s="474" t="str">
        <f>J17</f>
        <v>ㄋ</v>
      </c>
      <c r="H10" s="473"/>
      <c r="I10" s="472" t="s">
        <v>68</v>
      </c>
      <c r="J10" s="474" t="str">
        <f>M17</f>
        <v>ㄎ</v>
      </c>
      <c r="K10" s="473"/>
      <c r="L10" s="472" t="s">
        <v>70</v>
      </c>
      <c r="M10" s="474" t="str">
        <f>U17</f>
        <v>ㄑ</v>
      </c>
      <c r="N10" s="473"/>
      <c r="O10" s="492" t="s">
        <v>552</v>
      </c>
      <c r="P10" s="493" t="str">
        <f>O17</f>
        <v>ㄫ</v>
      </c>
      <c r="Q10" s="473"/>
      <c r="R10" s="475" t="str">
        <f>O19</f>
        <v>ng</v>
      </c>
      <c r="S10" s="474" t="str">
        <f>Q17</f>
        <v>ㄘ</v>
      </c>
      <c r="T10" s="473"/>
      <c r="U10" s="492" t="s">
        <v>566</v>
      </c>
      <c r="V10" s="468" t="str">
        <f>AA17</f>
        <v>ㄨ</v>
      </c>
      <c r="W10" s="467"/>
      <c r="X10" s="471" t="s">
        <v>156</v>
      </c>
      <c r="Y10" s="468" t="str">
        <f>AG17</f>
        <v>ㄜ</v>
      </c>
      <c r="Z10" s="467"/>
      <c r="AA10" s="469" t="s">
        <v>79</v>
      </c>
      <c r="AB10" s="468" t="str">
        <f>AL17</f>
        <v>ㄠ</v>
      </c>
      <c r="AC10" s="467"/>
      <c r="AD10" s="471" t="s">
        <v>145</v>
      </c>
      <c r="AE10" s="468" t="str">
        <f>AU17</f>
        <v>ㄤ</v>
      </c>
      <c r="AF10" s="491"/>
      <c r="AG10" s="469" t="s">
        <v>512</v>
      </c>
      <c r="AH10" s="566"/>
      <c r="AI10" s="567"/>
      <c r="AJ10" s="490"/>
      <c r="AK10" s="434"/>
      <c r="AL10" s="434"/>
      <c r="AM10" s="434"/>
      <c r="AN10" s="434"/>
      <c r="AO10" s="434"/>
      <c r="AP10" s="434"/>
      <c r="AQ10" s="434"/>
      <c r="AR10" s="435"/>
      <c r="AS10" s="435"/>
      <c r="AT10" s="434"/>
      <c r="AU10" s="434"/>
      <c r="AV10" s="434"/>
      <c r="BI10" s="411">
        <v>8</v>
      </c>
      <c r="BJ10" s="410" t="str" cm="1">
        <f t="array" aca="1" ref="BJ10" ca="1" xml:space="preserve"> INDIRECT( ADDRESS( ROW($C$17), COLUMN($C$17) +$BI10) )</f>
        <v>ㄌ</v>
      </c>
      <c r="BK10" s="409" t="str" cm="1">
        <f t="array" aca="1" ref="BK10" ca="1" xml:space="preserve"> INDIRECT( ADDRESS( ROW($C$19), COLUMN($C$19) +$BI10) )</f>
        <v>l</v>
      </c>
      <c r="BL10" s="408" t="str" cm="1">
        <f t="array" aca="1" ref="BL10" ca="1" xml:space="preserve"> INDIRECT( ADDRESS( ROW($C$18), COLUMN($C$18) +$BI10) )</f>
        <v>l</v>
      </c>
      <c r="BM10" s="407" t="str" cm="1">
        <f t="array" aca="1" ref="BM10" ca="1" xml:space="preserve"> INDIRECT( ADDRESS( ROW($C$16), COLUMN($C$16) +$BI10) )</f>
        <v>x</v>
      </c>
      <c r="BP10" s="517" t="str">
        <f t="shared" ca="1" si="0"/>
        <v>"x": { commit: "ㄌ" }</v>
      </c>
    </row>
    <row r="11" spans="1:68" s="465" customFormat="1" ht="31.5" customHeight="1">
      <c r="A11" s="476"/>
      <c r="B11" s="476"/>
      <c r="C11" s="476"/>
      <c r="D11" s="476"/>
      <c r="E11" s="560" t="s">
        <v>707</v>
      </c>
      <c r="F11" s="561"/>
      <c r="G11" s="562"/>
      <c r="H11" s="560" t="s">
        <v>82</v>
      </c>
      <c r="I11" s="561"/>
      <c r="J11" s="562"/>
      <c r="K11" s="560" t="s">
        <v>83</v>
      </c>
      <c r="L11" s="561"/>
      <c r="M11" s="562"/>
      <c r="N11" s="560" t="s">
        <v>84</v>
      </c>
      <c r="O11" s="561"/>
      <c r="P11" s="562"/>
      <c r="Q11" s="560" t="s">
        <v>85</v>
      </c>
      <c r="R11" s="561"/>
      <c r="S11" s="562"/>
      <c r="T11" s="560" t="s">
        <v>86</v>
      </c>
      <c r="U11" s="561"/>
      <c r="V11" s="562"/>
      <c r="W11" s="568" t="s">
        <v>87</v>
      </c>
      <c r="X11" s="569"/>
      <c r="Y11" s="570"/>
      <c r="Z11" s="568" t="s">
        <v>888</v>
      </c>
      <c r="AA11" s="569"/>
      <c r="AB11" s="570"/>
      <c r="AC11" s="568" t="s">
        <v>88</v>
      </c>
      <c r="AD11" s="569"/>
      <c r="AE11" s="570"/>
      <c r="AF11" s="563" t="s">
        <v>89</v>
      </c>
      <c r="AG11" s="564"/>
      <c r="AH11" s="565"/>
      <c r="AI11" s="476"/>
      <c r="AJ11" s="476"/>
      <c r="AK11" s="476"/>
      <c r="AL11" s="476"/>
      <c r="AM11" s="476"/>
      <c r="AN11" s="476"/>
      <c r="AO11" s="476"/>
      <c r="AP11" s="476"/>
      <c r="AQ11" s="476"/>
      <c r="AR11" s="477"/>
      <c r="AS11" s="477"/>
      <c r="AT11" s="476"/>
      <c r="AU11" s="476"/>
      <c r="AV11" s="476"/>
      <c r="BI11" s="411">
        <v>9</v>
      </c>
      <c r="BJ11" s="410" t="str" cm="1">
        <f t="array" aca="1" ref="BJ11" ca="1" xml:space="preserve"> INDIRECT( ADDRESS( ROW($C$17), COLUMN($C$17) +$BI11) )</f>
        <v>ㄍ</v>
      </c>
      <c r="BK11" s="409" t="str" cm="1">
        <f t="array" aca="1" ref="BK11" ca="1" xml:space="preserve"> INDIRECT( ADDRESS( ROW($C$19), COLUMN($C$19) +$BI11) )</f>
        <v>k</v>
      </c>
      <c r="BL11" s="408" t="str" cm="1">
        <f t="array" aca="1" ref="BL11" ca="1" xml:space="preserve"> INDIRECT( ADDRESS( ROW($C$18), COLUMN($C$18) +$BI11) )</f>
        <v>k</v>
      </c>
      <c r="BM11" s="407" t="str" cm="1">
        <f t="array" aca="1" ref="BM11" ca="1" xml:space="preserve"> INDIRECT( ADDRESS( ROW($C$16), COLUMN($C$16) +$BI11) )</f>
        <v>e</v>
      </c>
      <c r="BP11" s="517" t="str">
        <f t="shared" ca="1" si="0"/>
        <v>"e": { commit: "ㄍ" }</v>
      </c>
    </row>
    <row r="12" spans="1:68" s="465" customFormat="1" ht="31.5" customHeight="1">
      <c r="A12" s="476"/>
      <c r="B12" s="476"/>
      <c r="C12" s="476"/>
      <c r="D12" s="476"/>
      <c r="E12" s="487"/>
      <c r="F12" s="486"/>
      <c r="G12" s="485"/>
      <c r="H12" s="487"/>
      <c r="I12" s="486"/>
      <c r="J12" s="485"/>
      <c r="K12" s="487"/>
      <c r="L12" s="486"/>
      <c r="M12" s="485"/>
      <c r="N12" s="487"/>
      <c r="O12" s="486"/>
      <c r="P12" s="485"/>
      <c r="Q12" s="489" t="str">
        <f>AQ17</f>
        <v>ㆱ</v>
      </c>
      <c r="R12" s="486"/>
      <c r="S12" s="488" t="str">
        <f>AQ19</f>
        <v>om</v>
      </c>
      <c r="T12" s="487"/>
      <c r="U12" s="486"/>
      <c r="V12" s="485"/>
      <c r="W12" s="483"/>
      <c r="X12" s="482"/>
      <c r="Y12" s="481"/>
      <c r="Z12" s="484" t="str">
        <f>AI17</f>
        <v>ㆥ</v>
      </c>
      <c r="AA12" s="482"/>
      <c r="AB12" s="481" t="s">
        <v>887</v>
      </c>
      <c r="AC12" s="483"/>
      <c r="AD12" s="482"/>
      <c r="AE12" s="481"/>
      <c r="AF12" s="480" t="str">
        <f>AV17</f>
        <v>ㄥ</v>
      </c>
      <c r="AG12" s="479"/>
      <c r="AH12" s="478"/>
      <c r="AI12" s="476"/>
      <c r="AJ12" s="476"/>
      <c r="AK12" s="476"/>
      <c r="AL12" s="476"/>
      <c r="AM12" s="476"/>
      <c r="AN12" s="476"/>
      <c r="AO12" s="476"/>
      <c r="AP12" s="476"/>
      <c r="AQ12" s="476"/>
      <c r="AR12" s="477"/>
      <c r="AS12" s="477"/>
      <c r="AT12" s="476"/>
      <c r="AU12" s="476"/>
      <c r="AV12" s="476"/>
      <c r="BI12" s="411">
        <v>10</v>
      </c>
      <c r="BJ12" s="410" t="str" cm="1">
        <f t="array" aca="1" ref="BJ12" ca="1" xml:space="preserve"> INDIRECT( ADDRESS( ROW($C$17), COLUMN($C$17) +$BI12) )</f>
        <v>ㄎ</v>
      </c>
      <c r="BK12" s="409" t="str" cm="1">
        <f t="array" aca="1" ref="BK12" ca="1" xml:space="preserve"> INDIRECT( ADDRESS( ROW($C$19), COLUMN($C$19) +$BI12) )</f>
        <v>kh</v>
      </c>
      <c r="BL12" s="408" t="str" cm="1">
        <f t="array" aca="1" ref="BL12" ca="1" xml:space="preserve"> INDIRECT( ADDRESS( ROW($C$18), COLUMN($C$18) +$BI12) )</f>
        <v>K</v>
      </c>
      <c r="BM12" s="407" t="str" cm="1">
        <f t="array" aca="1" ref="BM12" ca="1" xml:space="preserve"> INDIRECT( ADDRESS( ROW($C$16), COLUMN($C$16) +$BI12) )</f>
        <v>d</v>
      </c>
      <c r="BP12" s="517" t="str">
        <f t="shared" ca="1" si="0"/>
        <v>"d": { commit: "ㄎ" }</v>
      </c>
    </row>
    <row r="13" spans="1:68" ht="31.5" customHeight="1" thickBot="1">
      <c r="A13" s="434"/>
      <c r="B13" s="434"/>
      <c r="C13" s="434"/>
      <c r="D13" s="434"/>
      <c r="E13" s="474"/>
      <c r="F13" s="473"/>
      <c r="G13" s="472"/>
      <c r="H13" s="474" t="str">
        <f>K17</f>
        <v>ㄌ</v>
      </c>
      <c r="I13" s="473"/>
      <c r="J13" s="472" t="s">
        <v>93</v>
      </c>
      <c r="K13" s="474" t="str">
        <f>X17</f>
        <v>ㄏ</v>
      </c>
      <c r="L13" s="473"/>
      <c r="M13" s="472" t="s">
        <v>95</v>
      </c>
      <c r="N13" s="474" t="str">
        <f>W17</f>
        <v>ㄒ</v>
      </c>
      <c r="O13" s="473"/>
      <c r="P13" s="472" t="s">
        <v>556</v>
      </c>
      <c r="Q13" s="474" t="str">
        <f>AR17</f>
        <v>ㆰ</v>
      </c>
      <c r="R13" s="473"/>
      <c r="S13" s="475" t="str">
        <f>AR19</f>
        <v>am</v>
      </c>
      <c r="T13" s="474" t="str">
        <f>S17</f>
        <v>ㄙ</v>
      </c>
      <c r="U13" s="473"/>
      <c r="V13" s="472" t="s">
        <v>99</v>
      </c>
      <c r="W13" s="468" t="str">
        <f>AN17</f>
        <v>ㆬ</v>
      </c>
      <c r="X13" s="467"/>
      <c r="Y13" s="469" t="s">
        <v>66</v>
      </c>
      <c r="Z13" s="468" t="str">
        <f>AH17</f>
        <v>ㆤ</v>
      </c>
      <c r="AA13" s="467"/>
      <c r="AB13" s="471" t="s">
        <v>141</v>
      </c>
      <c r="AC13" s="468"/>
      <c r="AD13" s="470"/>
      <c r="AE13" s="469"/>
      <c r="AF13" s="468" t="str">
        <f>AP17</f>
        <v>ㆭ</v>
      </c>
      <c r="AG13" s="467"/>
      <c r="AH13" s="466" t="s">
        <v>153</v>
      </c>
      <c r="AI13" s="434"/>
      <c r="AJ13" s="434"/>
      <c r="AK13" s="434"/>
      <c r="AL13" s="434"/>
      <c r="AM13" s="434"/>
      <c r="AN13" s="434"/>
      <c r="AO13" s="434"/>
      <c r="AP13" s="434"/>
      <c r="AQ13" s="434"/>
      <c r="AR13" s="435"/>
      <c r="AS13" s="435"/>
      <c r="AT13" s="434"/>
      <c r="AU13" s="434"/>
      <c r="AV13" s="434"/>
      <c r="BG13" s="465"/>
      <c r="BI13" s="411">
        <v>11</v>
      </c>
      <c r="BJ13" s="410" t="str" cm="1">
        <f t="array" aca="1" ref="BJ13" ca="1" xml:space="preserve"> INDIRECT( ADDRESS( ROW($C$17), COLUMN($C$17) +$BI13) )</f>
        <v>ㆣ</v>
      </c>
      <c r="BK13" s="409" t="str" cm="1">
        <f t="array" aca="1" ref="BK13" ca="1" xml:space="preserve"> INDIRECT( ADDRESS( ROW($C$19), COLUMN($C$19) +$BI13) )</f>
        <v>g</v>
      </c>
      <c r="BL13" s="408" t="str" cm="1">
        <f t="array" aca="1" ref="BL13" ca="1" xml:space="preserve"> INDIRECT( ADDRESS( ROW($C$18), COLUMN($C$18) +$BI13) )</f>
        <v>g</v>
      </c>
      <c r="BM13" s="407" t="str" cm="1">
        <f t="array" aca="1" ref="BM13" ca="1" xml:space="preserve"> INDIRECT( ADDRESS( ROW($C$16), COLUMN($C$16) +$BI13) )</f>
        <v>E</v>
      </c>
      <c r="BP13" s="517" t="str">
        <f t="shared" ca="1" si="0"/>
        <v>"E": { commit: "ㆣ" }</v>
      </c>
    </row>
    <row r="14" spans="1:68" ht="31.5" customHeight="1">
      <c r="A14" s="434"/>
      <c r="B14" s="434"/>
      <c r="C14" s="434"/>
      <c r="D14" s="434"/>
      <c r="E14" s="434"/>
      <c r="F14" s="434"/>
      <c r="G14" s="434"/>
      <c r="H14" s="434"/>
      <c r="I14" s="434"/>
      <c r="J14" s="434"/>
      <c r="K14" s="434"/>
      <c r="L14" s="434"/>
      <c r="M14" s="434"/>
      <c r="N14" s="434"/>
      <c r="O14" s="434"/>
      <c r="P14" s="434"/>
      <c r="Q14" s="434"/>
      <c r="R14" s="434"/>
      <c r="S14" s="434"/>
      <c r="T14" s="434"/>
      <c r="U14" s="434"/>
      <c r="V14" s="434"/>
      <c r="W14" s="434"/>
      <c r="X14" s="434"/>
      <c r="Y14" s="434"/>
      <c r="Z14" s="434"/>
      <c r="AA14" s="434"/>
      <c r="AB14" s="434"/>
      <c r="AC14" s="434"/>
      <c r="AD14" s="434"/>
      <c r="AE14" s="434"/>
      <c r="AF14" s="434"/>
      <c r="AG14" s="434"/>
      <c r="AH14" s="434"/>
      <c r="AI14" s="434"/>
      <c r="AJ14" s="434"/>
      <c r="AK14" s="434"/>
      <c r="AL14" s="434"/>
      <c r="AM14" s="434"/>
      <c r="AN14" s="434"/>
      <c r="AO14" s="434"/>
      <c r="AP14" s="434"/>
      <c r="AQ14" s="434"/>
      <c r="AR14" s="435"/>
      <c r="AS14" s="435"/>
      <c r="AT14" s="434"/>
      <c r="AU14" s="434"/>
      <c r="AV14" s="434"/>
      <c r="BG14" s="465"/>
      <c r="BI14" s="411">
        <v>12</v>
      </c>
      <c r="BJ14" s="410" t="str" cm="1">
        <f t="array" aca="1" ref="BJ14" ca="1" xml:space="preserve"> INDIRECT( ADDRESS( ROW($C$17), COLUMN($C$17) +$BI14) )</f>
        <v>ㄫ</v>
      </c>
      <c r="BK14" s="409" t="str" cm="1">
        <f t="array" aca="1" ref="BK14" ca="1" xml:space="preserve"> INDIRECT( ADDRESS( ROW($C$19), COLUMN($C$19) +$BI14) )</f>
        <v>ng</v>
      </c>
      <c r="BL14" s="408" t="str" cm="1">
        <f t="array" aca="1" ref="BL14" ca="1" xml:space="preserve"> INDIRECT( ADDRESS( ROW($C$18), COLUMN($C$18) +$BI14) )</f>
        <v>G</v>
      </c>
      <c r="BM14" s="407" t="str" cm="1">
        <f t="array" aca="1" ref="BM14" ca="1" xml:space="preserve"> INDIRECT( ADDRESS( ROW($C$16), COLUMN($C$16) +$BI14) )</f>
        <v>g</v>
      </c>
      <c r="BP14" s="517" t="str">
        <f t="shared" ca="1" si="0"/>
        <v>"g": { commit: "ㄫ" }</v>
      </c>
    </row>
    <row r="15" spans="1:68" s="458" customFormat="1" ht="31.5" customHeight="1">
      <c r="A15" s="464"/>
      <c r="B15" s="463" t="s">
        <v>103</v>
      </c>
      <c r="C15" s="462"/>
      <c r="D15" s="461" cm="1">
        <f t="array" ref="D15" xml:space="preserve"> COLUMN() - COLUMN($C:$C)</f>
        <v>1</v>
      </c>
      <c r="E15" s="461" cm="1">
        <f t="array" ref="E15" xml:space="preserve"> COLUMN() - COLUMN($C:$C)</f>
        <v>2</v>
      </c>
      <c r="F15" s="461" cm="1">
        <f t="array" ref="F15" xml:space="preserve"> COLUMN() - COLUMN($C:$C)</f>
        <v>3</v>
      </c>
      <c r="G15" s="461" cm="1">
        <f t="array" ref="G15" xml:space="preserve"> COLUMN() - COLUMN($C:$C)</f>
        <v>4</v>
      </c>
      <c r="H15" s="461" cm="1">
        <f t="array" ref="H15" xml:space="preserve"> COLUMN() - COLUMN($C:$C)</f>
        <v>5</v>
      </c>
      <c r="I15" s="461" cm="1">
        <f t="array" ref="I15" xml:space="preserve"> COLUMN() - COLUMN($C:$C)</f>
        <v>6</v>
      </c>
      <c r="J15" s="461" cm="1">
        <f t="array" ref="J15" xml:space="preserve"> COLUMN() - COLUMN($C:$C)</f>
        <v>7</v>
      </c>
      <c r="K15" s="461" cm="1">
        <f t="array" ref="K15" xml:space="preserve"> COLUMN() - COLUMN($C:$C)</f>
        <v>8</v>
      </c>
      <c r="L15" s="461" cm="1">
        <f t="array" ref="L15" xml:space="preserve"> COLUMN() - COLUMN($C:$C)</f>
        <v>9</v>
      </c>
      <c r="M15" s="461" cm="1">
        <f t="array" ref="M15" xml:space="preserve"> COLUMN() - COLUMN($C:$C)</f>
        <v>10</v>
      </c>
      <c r="N15" s="461" cm="1">
        <f t="array" ref="N15" xml:space="preserve"> COLUMN() - COLUMN($C:$C)</f>
        <v>11</v>
      </c>
      <c r="O15" s="461" cm="1">
        <f t="array" ref="O15" xml:space="preserve"> COLUMN() - COLUMN($C:$C)</f>
        <v>12</v>
      </c>
      <c r="P15" s="461" cm="1">
        <f t="array" ref="P15" xml:space="preserve"> COLUMN() - COLUMN($C:$C)</f>
        <v>13</v>
      </c>
      <c r="Q15" s="461" cm="1">
        <f t="array" ref="Q15" xml:space="preserve"> COLUMN() - COLUMN($C:$C)</f>
        <v>14</v>
      </c>
      <c r="R15" s="461" cm="1">
        <f t="array" ref="R15" xml:space="preserve"> COLUMN() - COLUMN($C:$C)</f>
        <v>15</v>
      </c>
      <c r="S15" s="461" cm="1">
        <f t="array" ref="S15" xml:space="preserve"> COLUMN() - COLUMN($C:$C)</f>
        <v>16</v>
      </c>
      <c r="T15" s="461" cm="1">
        <f t="array" ref="T15" xml:space="preserve"> COLUMN() - COLUMN($C:$C)</f>
        <v>17</v>
      </c>
      <c r="U15" s="461" cm="1">
        <f t="array" ref="U15" xml:space="preserve"> COLUMN() - COLUMN($C:$C)</f>
        <v>18</v>
      </c>
      <c r="V15" s="461" cm="1">
        <f t="array" ref="V15" xml:space="preserve"> COLUMN() - COLUMN($C:$C)</f>
        <v>19</v>
      </c>
      <c r="W15" s="461" cm="1">
        <f t="array" ref="W15" xml:space="preserve"> COLUMN() - COLUMN($C:$C)</f>
        <v>20</v>
      </c>
      <c r="X15" s="461" cm="1">
        <f t="array" ref="X15" xml:space="preserve"> COLUMN() - COLUMN($C:$C)</f>
        <v>21</v>
      </c>
      <c r="Y15" s="460" cm="1">
        <f t="array" ref="Y15" xml:space="preserve"> COLUMN() - COLUMN($C:$C)</f>
        <v>22</v>
      </c>
      <c r="Z15" s="460" cm="1">
        <f t="array" ref="Z15" xml:space="preserve"> COLUMN() - COLUMN($C:$C)</f>
        <v>23</v>
      </c>
      <c r="AA15" s="460" cm="1">
        <f t="array" ref="AA15" xml:space="preserve"> COLUMN() - COLUMN($C:$C)</f>
        <v>24</v>
      </c>
      <c r="AB15" s="460" cm="1">
        <f t="array" ref="AB15" xml:space="preserve"> COLUMN() - COLUMN($C:$C)</f>
        <v>25</v>
      </c>
      <c r="AC15" s="460" cm="1">
        <f t="array" ref="AC15" xml:space="preserve"> COLUMN() - COLUMN($C:$C)</f>
        <v>26</v>
      </c>
      <c r="AD15" s="460" cm="1">
        <f t="array" ref="AD15" xml:space="preserve"> COLUMN() - COLUMN($C:$C)</f>
        <v>27</v>
      </c>
      <c r="AE15" s="460" cm="1">
        <f t="array" ref="AE15" xml:space="preserve"> COLUMN() - COLUMN($C:$C)</f>
        <v>28</v>
      </c>
      <c r="AF15" s="460" cm="1">
        <f t="array" ref="AF15" xml:space="preserve"> COLUMN() - COLUMN($C:$C)</f>
        <v>29</v>
      </c>
      <c r="AG15" s="460" cm="1">
        <f t="array" ref="AG15" xml:space="preserve"> COLUMN() - COLUMN($C:$C)</f>
        <v>30</v>
      </c>
      <c r="AH15" s="460" cm="1">
        <f t="array" ref="AH15" xml:space="preserve"> COLUMN() - COLUMN($C:$C)</f>
        <v>31</v>
      </c>
      <c r="AI15" s="460" cm="1">
        <f t="array" ref="AI15" xml:space="preserve"> COLUMN() - COLUMN($C:$C)</f>
        <v>32</v>
      </c>
      <c r="AJ15" s="460" cm="1">
        <f t="array" ref="AJ15" xml:space="preserve"> COLUMN() - COLUMN($C:$C)</f>
        <v>33</v>
      </c>
      <c r="AK15" s="460" cm="1">
        <f t="array" ref="AK15" xml:space="preserve"> COLUMN() - COLUMN($C:$C)</f>
        <v>34</v>
      </c>
      <c r="AL15" s="460" cm="1">
        <f t="array" ref="AL15" xml:space="preserve"> COLUMN() - COLUMN($C:$C)</f>
        <v>35</v>
      </c>
      <c r="AM15" s="460" cm="1">
        <f t="array" ref="AM15" xml:space="preserve"> COLUMN() - COLUMN($C:$C)</f>
        <v>36</v>
      </c>
      <c r="AN15" s="460" cm="1">
        <f t="array" ref="AN15" xml:space="preserve"> COLUMN() - COLUMN($C:$C)</f>
        <v>37</v>
      </c>
      <c r="AO15" s="460" cm="1">
        <f t="array" ref="AO15" xml:space="preserve"> COLUMN() - COLUMN($C:$C)</f>
        <v>38</v>
      </c>
      <c r="AP15" s="460" cm="1">
        <f t="array" ref="AP15" xml:space="preserve"> COLUMN() - COLUMN($C:$C)</f>
        <v>39</v>
      </c>
      <c r="AQ15" s="460" cm="1">
        <f t="array" ref="AQ15" xml:space="preserve"> COLUMN() - COLUMN($C:$C)</f>
        <v>40</v>
      </c>
      <c r="AR15" s="460" cm="1">
        <f t="array" ref="AR15" xml:space="preserve"> COLUMN() - COLUMN($C:$C)</f>
        <v>41</v>
      </c>
      <c r="AS15" s="460" cm="1">
        <f t="array" ref="AS15" xml:space="preserve"> COLUMN() - COLUMN($C:$C)</f>
        <v>42</v>
      </c>
      <c r="AT15" s="460" cm="1">
        <f t="array" ref="AT15" xml:space="preserve"> COLUMN() - COLUMN($C:$C)</f>
        <v>43</v>
      </c>
      <c r="AU15" s="460" cm="1">
        <f t="array" ref="AU15" xml:space="preserve"> COLUMN() - COLUMN($C:$C)</f>
        <v>44</v>
      </c>
      <c r="AV15" s="460" cm="1">
        <f t="array" ref="AV15" xml:space="preserve"> COLUMN() - COLUMN($C:$C)</f>
        <v>45</v>
      </c>
      <c r="AW15" s="460" cm="1">
        <f t="array" ref="AW15" xml:space="preserve"> COLUMN() - COLUMN($C:$C)</f>
        <v>46</v>
      </c>
      <c r="AX15" s="459" cm="1">
        <f t="array" ref="AX15" xml:space="preserve"> COLUMN() - COLUMN($C:$C)</f>
        <v>47</v>
      </c>
      <c r="AY15" s="459" cm="1">
        <f t="array" ref="AY15" xml:space="preserve"> COLUMN() - COLUMN($C:$C)</f>
        <v>48</v>
      </c>
      <c r="AZ15" s="459" cm="1">
        <f t="array" ref="AZ15" xml:space="preserve"> COLUMN() - COLUMN($C:$C)</f>
        <v>49</v>
      </c>
      <c r="BA15" s="459" cm="1">
        <f t="array" ref="BA15" xml:space="preserve"> COLUMN() - COLUMN($C:$C)</f>
        <v>50</v>
      </c>
      <c r="BB15" s="459" cm="1">
        <f t="array" ref="BB15" xml:space="preserve"> COLUMN() - COLUMN($C:$C)</f>
        <v>51</v>
      </c>
      <c r="BC15" s="459" cm="1">
        <f t="array" ref="BC15" xml:space="preserve"> COLUMN() - COLUMN($C:$C)</f>
        <v>52</v>
      </c>
      <c r="BI15" s="411">
        <v>13</v>
      </c>
      <c r="BJ15" s="410" t="str" cm="1">
        <f t="array" aca="1" ref="BJ15" ca="1" xml:space="preserve"> INDIRECT( ADDRESS( ROW($C$17), COLUMN($C$17) +$BI15) )</f>
        <v>ㄗ</v>
      </c>
      <c r="BK15" s="409" t="str" cm="1">
        <f t="array" aca="1" ref="BK15" ca="1" xml:space="preserve"> INDIRECT( ADDRESS( ROW($C$19), COLUMN($C$19) +$BI15) )</f>
        <v>c</v>
      </c>
      <c r="BL15" s="408" t="str" cm="1">
        <f t="array" aca="1" ref="BL15" ca="1" xml:space="preserve"> INDIRECT( ADDRESS( ROW($C$18), COLUMN($C$18) +$BI15) )</f>
        <v>z</v>
      </c>
      <c r="BM15" s="407" t="str" cm="1">
        <f t="array" aca="1" ref="BM15" ca="1" xml:space="preserve"> INDIRECT( ADDRESS( ROW($C$16), COLUMN($C$16) +$BI15) )</f>
        <v>y</v>
      </c>
      <c r="BP15" s="517" t="str">
        <f t="shared" ca="1" si="0"/>
        <v>"y": { commit: "ㄗ" }</v>
      </c>
    </row>
    <row r="16" spans="1:68" s="436" customFormat="1" ht="31.5" customHeight="1">
      <c r="A16" s="443"/>
      <c r="B16" s="457" t="s">
        <v>167</v>
      </c>
      <c r="C16" s="456"/>
      <c r="D16" s="454" t="s">
        <v>168</v>
      </c>
      <c r="E16" s="454" t="s">
        <v>532</v>
      </c>
      <c r="F16" s="454" t="s">
        <v>886</v>
      </c>
      <c r="G16" s="454" t="s">
        <v>533</v>
      </c>
      <c r="H16" s="454" t="s">
        <v>169</v>
      </c>
      <c r="I16" s="454" t="s">
        <v>170</v>
      </c>
      <c r="J16" s="454" t="s">
        <v>99</v>
      </c>
      <c r="K16" s="454" t="s">
        <v>171</v>
      </c>
      <c r="L16" s="454" t="s">
        <v>53</v>
      </c>
      <c r="M16" s="454" t="s">
        <v>545</v>
      </c>
      <c r="N16" s="454" t="s">
        <v>861</v>
      </c>
      <c r="O16" s="454" t="s">
        <v>559</v>
      </c>
      <c r="P16" s="454" t="s">
        <v>564</v>
      </c>
      <c r="Q16" s="454" t="s">
        <v>565</v>
      </c>
      <c r="R16" s="454" t="s">
        <v>860</v>
      </c>
      <c r="S16" s="454" t="s">
        <v>567</v>
      </c>
      <c r="T16" s="454" t="s">
        <v>547</v>
      </c>
      <c r="U16" s="454" t="s">
        <v>551</v>
      </c>
      <c r="V16" s="454" t="s">
        <v>850</v>
      </c>
      <c r="W16" s="454" t="s">
        <v>555</v>
      </c>
      <c r="X16" s="454" t="s">
        <v>546</v>
      </c>
      <c r="Y16" s="454" t="s">
        <v>568</v>
      </c>
      <c r="Z16" s="454" t="s">
        <v>30</v>
      </c>
      <c r="AA16" s="454" t="s">
        <v>97</v>
      </c>
      <c r="AB16" s="454" t="s">
        <v>61</v>
      </c>
      <c r="AC16" s="454">
        <v>8</v>
      </c>
      <c r="AD16" s="454" t="s">
        <v>177</v>
      </c>
      <c r="AE16" s="454" t="s">
        <v>49</v>
      </c>
      <c r="AF16" s="454" t="s">
        <v>31</v>
      </c>
      <c r="AG16" s="454" t="s">
        <v>42</v>
      </c>
      <c r="AH16" s="454" t="s">
        <v>256</v>
      </c>
      <c r="AI16" s="454" t="s">
        <v>648</v>
      </c>
      <c r="AJ16" s="454">
        <v>9</v>
      </c>
      <c r="AK16" s="454" t="s">
        <v>885</v>
      </c>
      <c r="AL16" s="454" t="s">
        <v>576</v>
      </c>
      <c r="AM16" s="454" t="s">
        <v>884</v>
      </c>
      <c r="AN16" s="454" t="s">
        <v>570</v>
      </c>
      <c r="AO16" s="454" t="s">
        <v>582</v>
      </c>
      <c r="AP16" s="455" t="s">
        <v>585</v>
      </c>
      <c r="AQ16" s="454" t="s">
        <v>883</v>
      </c>
      <c r="AR16" s="454" t="s">
        <v>561</v>
      </c>
      <c r="AS16" s="455" t="s">
        <v>849</v>
      </c>
      <c r="AT16" s="455" t="s">
        <v>579</v>
      </c>
      <c r="AU16" s="455" t="s">
        <v>583</v>
      </c>
      <c r="AV16" s="455" t="s">
        <v>882</v>
      </c>
      <c r="AW16" s="454" t="s">
        <v>77</v>
      </c>
      <c r="AX16" s="454" t="s">
        <v>881</v>
      </c>
      <c r="AY16" s="454" t="s">
        <v>186</v>
      </c>
      <c r="AZ16" s="454" t="s">
        <v>187</v>
      </c>
      <c r="BA16" s="454" t="s">
        <v>188</v>
      </c>
      <c r="BB16" s="454" t="s">
        <v>189</v>
      </c>
      <c r="BC16" s="454" t="s">
        <v>190</v>
      </c>
      <c r="BI16" s="411">
        <v>14</v>
      </c>
      <c r="BJ16" s="410" t="str" cm="1">
        <f t="array" aca="1" ref="BJ16" ca="1" xml:space="preserve"> INDIRECT( ADDRESS( ROW($C$17), COLUMN($C$17) +$BI16) )</f>
        <v>ㄘ</v>
      </c>
      <c r="BK16" s="409" t="str" cm="1">
        <f t="array" aca="1" ref="BK16" ca="1" xml:space="preserve"> INDIRECT( ADDRESS( ROW($C$19), COLUMN($C$19) +$BI16) )</f>
        <v>ch</v>
      </c>
      <c r="BL16" s="408" t="str" cm="1">
        <f t="array" aca="1" ref="BL16" ca="1" xml:space="preserve"> INDIRECT( ADDRESS( ROW($C$18), COLUMN($C$18) +$BI16) )</f>
        <v>c</v>
      </c>
      <c r="BM16" s="407" t="str" cm="1">
        <f t="array" aca="1" ref="BM16" ca="1" xml:space="preserve"> INDIRECT( ADDRESS( ROW($C$16), COLUMN($C$16) +$BI16) )</f>
        <v>h</v>
      </c>
      <c r="BP16" s="517" t="str">
        <f t="shared" ca="1" si="0"/>
        <v>"h": { commit: "ㄘ" }</v>
      </c>
    </row>
    <row r="17" spans="1:68" s="436" customFormat="1" ht="31.5" customHeight="1">
      <c r="A17" s="443"/>
      <c r="B17" s="453" t="s">
        <v>104</v>
      </c>
      <c r="C17" s="452"/>
      <c r="D17" s="449" t="s">
        <v>8</v>
      </c>
      <c r="E17" s="449" t="s">
        <v>37</v>
      </c>
      <c r="F17" s="449" t="s">
        <v>90</v>
      </c>
      <c r="G17" s="449" t="s">
        <v>55</v>
      </c>
      <c r="H17" s="449" t="s">
        <v>10</v>
      </c>
      <c r="I17" s="449" t="s">
        <v>39</v>
      </c>
      <c r="J17" s="449" t="s">
        <v>67</v>
      </c>
      <c r="K17" s="449" t="s">
        <v>92</v>
      </c>
      <c r="L17" s="449" t="s">
        <v>41</v>
      </c>
      <c r="M17" s="449" t="s">
        <v>69</v>
      </c>
      <c r="N17" s="449" t="s">
        <v>44</v>
      </c>
      <c r="O17" s="449" t="s">
        <v>72</v>
      </c>
      <c r="P17" s="449" t="s">
        <v>46</v>
      </c>
      <c r="Q17" s="449" t="s">
        <v>74</v>
      </c>
      <c r="R17" s="449" t="s">
        <v>106</v>
      </c>
      <c r="S17" s="449" t="s">
        <v>98</v>
      </c>
      <c r="T17" s="449" t="s">
        <v>43</v>
      </c>
      <c r="U17" s="449" t="s">
        <v>71</v>
      </c>
      <c r="V17" s="449" t="s">
        <v>105</v>
      </c>
      <c r="W17" s="449" t="s">
        <v>96</v>
      </c>
      <c r="X17" s="449" t="s">
        <v>94</v>
      </c>
      <c r="Y17" s="449" t="s">
        <v>48</v>
      </c>
      <c r="Z17" s="449" t="s">
        <v>116</v>
      </c>
      <c r="AA17" s="449" t="s">
        <v>76</v>
      </c>
      <c r="AB17" s="449" t="s">
        <v>117</v>
      </c>
      <c r="AC17" s="449" t="s">
        <v>20</v>
      </c>
      <c r="AD17" s="449" t="s">
        <v>107</v>
      </c>
      <c r="AE17" s="449" t="s">
        <v>50</v>
      </c>
      <c r="AF17" s="449" t="s">
        <v>108</v>
      </c>
      <c r="AG17" s="449" t="s">
        <v>78</v>
      </c>
      <c r="AH17" s="449" t="s">
        <v>52</v>
      </c>
      <c r="AI17" s="449" t="s">
        <v>110</v>
      </c>
      <c r="AJ17" s="449" t="s">
        <v>22</v>
      </c>
      <c r="AK17" s="449" t="s">
        <v>111</v>
      </c>
      <c r="AL17" s="449" t="s">
        <v>80</v>
      </c>
      <c r="AM17" s="449" t="s">
        <v>112</v>
      </c>
      <c r="AN17" s="450" t="s">
        <v>100</v>
      </c>
      <c r="AO17" s="450" t="s">
        <v>54</v>
      </c>
      <c r="AP17" s="450" t="s">
        <v>102</v>
      </c>
      <c r="AQ17" s="449" t="s">
        <v>114</v>
      </c>
      <c r="AR17" s="449" t="s">
        <v>113</v>
      </c>
      <c r="AS17" s="449" t="s">
        <v>23</v>
      </c>
      <c r="AT17" s="449" t="s">
        <v>101</v>
      </c>
      <c r="AU17" s="449" t="s">
        <v>81</v>
      </c>
      <c r="AV17" s="449" t="s">
        <v>115</v>
      </c>
      <c r="AW17" s="451" t="s">
        <v>880</v>
      </c>
      <c r="AX17" s="449" t="s">
        <v>118</v>
      </c>
      <c r="AY17" s="448" t="s">
        <v>14</v>
      </c>
      <c r="AZ17" s="448" t="s">
        <v>12</v>
      </c>
      <c r="BA17" s="448" t="s">
        <v>18</v>
      </c>
      <c r="BB17" s="448" t="s">
        <v>16</v>
      </c>
      <c r="BC17" s="448" t="s">
        <v>123</v>
      </c>
      <c r="BI17" s="411">
        <v>15</v>
      </c>
      <c r="BJ17" s="410" t="str" cm="1">
        <f t="array" aca="1" ref="BJ17" ca="1" xml:space="preserve"> INDIRECT( ADDRESS( ROW($C$17), COLUMN($C$17) +$BI17) )</f>
        <v>ㆡ</v>
      </c>
      <c r="BK17" s="409" t="str" cm="1">
        <f t="array" aca="1" ref="BK17" ca="1" xml:space="preserve"> INDIRECT( ADDRESS( ROW($C$19), COLUMN($C$19) +$BI17) )</f>
        <v>j</v>
      </c>
      <c r="BL17" s="408" t="str" cm="1">
        <f t="array" aca="1" ref="BL17" ca="1" xml:space="preserve"> INDIRECT( ADDRESS( ROW($C$18), COLUMN($C$18) +$BI17) )</f>
        <v>j</v>
      </c>
      <c r="BM17" s="407" t="str" cm="1">
        <f t="array" aca="1" ref="BM17" ca="1" xml:space="preserve"> INDIRECT( ADDRESS( ROW($C$16), COLUMN($C$16) +$BI17) )</f>
        <v>Y</v>
      </c>
      <c r="BP17" s="517" t="str">
        <f t="shared" ca="1" si="0"/>
        <v>"Y": { commit: "ㆡ" }</v>
      </c>
    </row>
    <row r="18" spans="1:68" s="436" customFormat="1" ht="31.5" customHeight="1">
      <c r="A18" s="443"/>
      <c r="B18" s="442" t="s">
        <v>873</v>
      </c>
      <c r="C18" s="441"/>
      <c r="D18" s="438" t="s">
        <v>582</v>
      </c>
      <c r="E18" s="438" t="s">
        <v>872</v>
      </c>
      <c r="F18" s="438" t="s">
        <v>561</v>
      </c>
      <c r="G18" s="438" t="s">
        <v>66</v>
      </c>
      <c r="H18" s="438" t="s">
        <v>558</v>
      </c>
      <c r="I18" s="438" t="s">
        <v>871</v>
      </c>
      <c r="J18" s="438" t="s">
        <v>68</v>
      </c>
      <c r="K18" s="438" t="s">
        <v>93</v>
      </c>
      <c r="L18" s="438" t="s">
        <v>573</v>
      </c>
      <c r="M18" s="438" t="s">
        <v>870</v>
      </c>
      <c r="N18" s="438" t="s">
        <v>559</v>
      </c>
      <c r="O18" s="439" t="s">
        <v>202</v>
      </c>
      <c r="P18" s="438" t="s">
        <v>536</v>
      </c>
      <c r="Q18" s="438" t="s">
        <v>546</v>
      </c>
      <c r="R18" s="438" t="s">
        <v>569</v>
      </c>
      <c r="S18" s="438" t="s">
        <v>99</v>
      </c>
      <c r="T18" s="438" t="s">
        <v>869</v>
      </c>
      <c r="U18" s="438" t="s">
        <v>868</v>
      </c>
      <c r="V18" s="438" t="s">
        <v>867</v>
      </c>
      <c r="W18" s="438" t="s">
        <v>866</v>
      </c>
      <c r="X18" s="438" t="s">
        <v>565</v>
      </c>
      <c r="Y18" s="438" t="s">
        <v>572</v>
      </c>
      <c r="Z18" s="438" t="s">
        <v>865</v>
      </c>
      <c r="AA18" s="438" t="s">
        <v>568</v>
      </c>
      <c r="AB18" s="438" t="s">
        <v>864</v>
      </c>
      <c r="AC18" s="438" t="s">
        <v>21</v>
      </c>
      <c r="AD18" s="438" t="s">
        <v>863</v>
      </c>
      <c r="AE18" s="438" t="s">
        <v>32</v>
      </c>
      <c r="AF18" s="438" t="s">
        <v>862</v>
      </c>
      <c r="AG18" s="438" t="s">
        <v>79</v>
      </c>
      <c r="AH18" s="438" t="s">
        <v>53</v>
      </c>
      <c r="AI18" s="438" t="s">
        <v>861</v>
      </c>
      <c r="AJ18" s="438" t="s">
        <v>564</v>
      </c>
      <c r="AK18" s="438" t="s">
        <v>860</v>
      </c>
      <c r="AL18" s="438" t="s">
        <v>542</v>
      </c>
      <c r="AM18" s="438" t="s">
        <v>859</v>
      </c>
      <c r="AN18" s="438" t="s">
        <v>857</v>
      </c>
      <c r="AO18" s="438" t="s">
        <v>856</v>
      </c>
      <c r="AP18" s="438" t="s">
        <v>547</v>
      </c>
      <c r="AQ18" s="439" t="s">
        <v>855</v>
      </c>
      <c r="AR18" s="439" t="s">
        <v>854</v>
      </c>
      <c r="AS18" s="439" t="s">
        <v>853</v>
      </c>
      <c r="AT18" s="439" t="s">
        <v>852</v>
      </c>
      <c r="AU18" s="439" t="s">
        <v>851</v>
      </c>
      <c r="AV18" s="439" t="s">
        <v>850</v>
      </c>
      <c r="AW18" s="440" t="s">
        <v>858</v>
      </c>
      <c r="AX18" s="438">
        <v>1</v>
      </c>
      <c r="AY18" s="438">
        <v>2</v>
      </c>
      <c r="AZ18" s="438">
        <v>3</v>
      </c>
      <c r="BA18" s="438">
        <v>5</v>
      </c>
      <c r="BB18" s="438">
        <v>7</v>
      </c>
      <c r="BC18" s="437" t="s">
        <v>849</v>
      </c>
      <c r="BI18" s="411">
        <v>16</v>
      </c>
      <c r="BJ18" s="410" t="str" cm="1">
        <f t="array" aca="1" ref="BJ18" ca="1" xml:space="preserve"> INDIRECT( ADDRESS( ROW($C$17), COLUMN($C$17) +$BI18) )</f>
        <v>ㄙ</v>
      </c>
      <c r="BK18" s="409" t="str" cm="1">
        <f t="array" aca="1" ref="BK18" ca="1" xml:space="preserve"> INDIRECT( ADDRESS( ROW($C$19), COLUMN($C$19) +$BI18) )</f>
        <v>s</v>
      </c>
      <c r="BL18" s="408" t="str" cm="1">
        <f t="array" aca="1" ref="BL18" ca="1" xml:space="preserve"> INDIRECT( ADDRESS( ROW($C$18), COLUMN($C$18) +$BI18) )</f>
        <v>s</v>
      </c>
      <c r="BM18" s="407" t="str" cm="1">
        <f t="array" aca="1" ref="BM18" ca="1" xml:space="preserve"> INDIRECT( ADDRESS( ROW($C$16), COLUMN($C$16) +$BI18) )</f>
        <v>n</v>
      </c>
      <c r="BP18" s="517" t="str">
        <f t="shared" ca="1" si="0"/>
        <v>"n": { commit: "ㄙ" }</v>
      </c>
    </row>
    <row r="19" spans="1:68" s="436" customFormat="1" ht="31.5" customHeight="1">
      <c r="A19" s="443"/>
      <c r="B19" s="447" t="s">
        <v>879</v>
      </c>
      <c r="C19" s="446"/>
      <c r="D19" s="444" t="s">
        <v>9</v>
      </c>
      <c r="E19" s="444" t="s">
        <v>38</v>
      </c>
      <c r="F19" s="444" t="s">
        <v>91</v>
      </c>
      <c r="G19" s="444" t="s">
        <v>66</v>
      </c>
      <c r="H19" s="444" t="s">
        <v>11</v>
      </c>
      <c r="I19" s="444" t="s">
        <v>40</v>
      </c>
      <c r="J19" s="444" t="s">
        <v>68</v>
      </c>
      <c r="K19" s="444" t="s">
        <v>93</v>
      </c>
      <c r="L19" s="444" t="s">
        <v>42</v>
      </c>
      <c r="M19" s="444" t="s">
        <v>70</v>
      </c>
      <c r="N19" s="444" t="s">
        <v>45</v>
      </c>
      <c r="O19" s="444" t="s">
        <v>73</v>
      </c>
      <c r="P19" s="444" t="s">
        <v>546</v>
      </c>
      <c r="Q19" s="444" t="s">
        <v>566</v>
      </c>
      <c r="R19" s="444" t="s">
        <v>97</v>
      </c>
      <c r="S19" s="444" t="s">
        <v>99</v>
      </c>
      <c r="T19" s="444" t="s">
        <v>548</v>
      </c>
      <c r="U19" s="444" t="s">
        <v>552</v>
      </c>
      <c r="V19" s="444" t="s">
        <v>211</v>
      </c>
      <c r="W19" s="444" t="s">
        <v>556</v>
      </c>
      <c r="X19" s="444" t="s">
        <v>95</v>
      </c>
      <c r="Y19" s="444" t="s">
        <v>49</v>
      </c>
      <c r="Z19" s="444" t="s">
        <v>215</v>
      </c>
      <c r="AA19" s="444" t="s">
        <v>77</v>
      </c>
      <c r="AB19" s="444" t="s">
        <v>216</v>
      </c>
      <c r="AC19" s="444" t="s">
        <v>21</v>
      </c>
      <c r="AD19" s="444" t="s">
        <v>212</v>
      </c>
      <c r="AE19" s="444" t="s">
        <v>79</v>
      </c>
      <c r="AF19" s="444" t="s">
        <v>213</v>
      </c>
      <c r="AG19" s="444" t="s">
        <v>79</v>
      </c>
      <c r="AH19" s="444" t="s">
        <v>53</v>
      </c>
      <c r="AI19" s="444" t="s">
        <v>214</v>
      </c>
      <c r="AJ19" s="444" t="s">
        <v>372</v>
      </c>
      <c r="AK19" s="444" t="s">
        <v>436</v>
      </c>
      <c r="AL19" s="444" t="s">
        <v>375</v>
      </c>
      <c r="AM19" s="444" t="s">
        <v>443</v>
      </c>
      <c r="AN19" s="445" t="s">
        <v>877</v>
      </c>
      <c r="AO19" s="445" t="s">
        <v>876</v>
      </c>
      <c r="AP19" s="445" t="s">
        <v>875</v>
      </c>
      <c r="AQ19" s="444" t="s">
        <v>506</v>
      </c>
      <c r="AR19" s="444" t="s">
        <v>503</v>
      </c>
      <c r="AS19" s="444" t="s">
        <v>509</v>
      </c>
      <c r="AT19" s="444" t="s">
        <v>515</v>
      </c>
      <c r="AU19" s="444" t="s">
        <v>512</v>
      </c>
      <c r="AV19" s="445" t="s">
        <v>874</v>
      </c>
      <c r="AW19" s="445" t="s">
        <v>878</v>
      </c>
      <c r="AX19" s="444">
        <v>1</v>
      </c>
      <c r="AY19" s="444">
        <v>2</v>
      </c>
      <c r="AZ19" s="444">
        <v>3</v>
      </c>
      <c r="BA19" s="444">
        <v>5</v>
      </c>
      <c r="BB19" s="444">
        <v>7</v>
      </c>
      <c r="BC19" s="444">
        <v>8</v>
      </c>
      <c r="BI19" s="411">
        <v>17</v>
      </c>
      <c r="BJ19" s="410" t="str" cm="1">
        <f t="array" aca="1" ref="BJ19" ca="1" xml:space="preserve"> INDIRECT( ADDRESS( ROW($C$17), COLUMN($C$17) +$BI19) )</f>
        <v>ㄐ</v>
      </c>
      <c r="BK19" s="409" t="str" cm="1">
        <f t="array" aca="1" ref="BK19" ca="1" xml:space="preserve"> INDIRECT( ADDRESS( ROW($C$19), COLUMN($C$19) +$BI19) )</f>
        <v>ci</v>
      </c>
      <c r="BL19" s="408" t="str" cm="1">
        <f t="array" aca="1" ref="BL19" ca="1" xml:space="preserve"> INDIRECT( ADDRESS( ROW($C$18), COLUMN($C$18) +$BI19) )</f>
        <v>Z</v>
      </c>
      <c r="BM19" s="407" t="str" cm="1">
        <f t="array" aca="1" ref="BM19" ca="1" xml:space="preserve"> INDIRECT( ADDRESS( ROW($C$16), COLUMN($C$16) +$BI19) )</f>
        <v>r</v>
      </c>
      <c r="BP19" s="517" t="str">
        <f t="shared" ca="1" si="0"/>
        <v>"r": { commit: "ㄐ" }</v>
      </c>
    </row>
    <row r="20" spans="1:68" ht="31.5" customHeight="1">
      <c r="A20" s="434"/>
      <c r="B20" s="434"/>
      <c r="C20" s="434"/>
      <c r="D20" s="434"/>
      <c r="E20" s="434"/>
      <c r="F20" s="434"/>
      <c r="G20" s="434"/>
      <c r="H20" s="434"/>
      <c r="I20" s="434"/>
      <c r="J20" s="434"/>
      <c r="K20" s="434"/>
      <c r="L20" s="434"/>
      <c r="M20" s="434"/>
      <c r="N20" s="434"/>
      <c r="O20" s="434"/>
      <c r="P20" s="434"/>
      <c r="Q20" s="434"/>
      <c r="R20" s="434"/>
      <c r="S20" s="434"/>
      <c r="T20" s="434"/>
      <c r="U20" s="434"/>
      <c r="V20" s="434"/>
      <c r="W20" s="434"/>
      <c r="X20" s="434"/>
      <c r="Y20" s="434"/>
      <c r="Z20" s="434"/>
      <c r="AA20" s="434"/>
      <c r="AB20" s="434"/>
      <c r="AC20" s="434"/>
      <c r="AD20" s="434"/>
      <c r="AE20" s="434"/>
      <c r="AF20" s="434"/>
      <c r="AG20" s="434"/>
      <c r="AH20" s="434"/>
      <c r="AI20" s="434"/>
      <c r="AJ20" s="434"/>
      <c r="AK20" s="434"/>
      <c r="AL20" s="434"/>
      <c r="AM20" s="434"/>
      <c r="AN20" s="434"/>
      <c r="AO20" s="434"/>
      <c r="AP20" s="434"/>
      <c r="AQ20" s="434"/>
      <c r="AR20" s="435"/>
      <c r="AS20" s="435"/>
      <c r="AT20" s="434"/>
      <c r="AU20" s="434"/>
      <c r="AV20" s="434"/>
      <c r="BI20" s="411">
        <v>18</v>
      </c>
      <c r="BJ20" s="410" t="str" cm="1">
        <f t="array" aca="1" ref="BJ20" ca="1" xml:space="preserve"> INDIRECT( ADDRESS( ROW($C$17), COLUMN($C$17) +$BI20) )</f>
        <v>ㄑ</v>
      </c>
      <c r="BK20" s="409" t="str" cm="1">
        <f t="array" aca="1" ref="BK20" ca="1" xml:space="preserve"> INDIRECT( ADDRESS( ROW($C$19), COLUMN($C$19) +$BI20) )</f>
        <v>chi</v>
      </c>
      <c r="BL20" s="408" t="str" cm="1">
        <f t="array" aca="1" ref="BL20" ca="1" xml:space="preserve"> INDIRECT( ADDRESS( ROW($C$18), COLUMN($C$18) +$BI20) )</f>
        <v>C</v>
      </c>
      <c r="BM20" s="407" t="str" cm="1">
        <f t="array" aca="1" ref="BM20" ca="1" xml:space="preserve"> INDIRECT( ADDRESS( ROW($C$16), COLUMN($C$16) +$BI20) )</f>
        <v>f</v>
      </c>
      <c r="BP20" s="517" t="str">
        <f t="shared" ca="1" si="0"/>
        <v>"f": { commit: "ㄑ" }</v>
      </c>
    </row>
    <row r="21" spans="1:68" s="412" customFormat="1" ht="31.5" customHeight="1">
      <c r="B21" s="433" t="s">
        <v>262</v>
      </c>
      <c r="C21" s="432"/>
      <c r="D21" s="432"/>
      <c r="E21" s="432"/>
      <c r="F21" s="432"/>
      <c r="G21" s="432"/>
      <c r="H21" s="432"/>
      <c r="I21" s="432"/>
      <c r="J21" s="432"/>
      <c r="K21" s="432"/>
      <c r="L21" s="432"/>
      <c r="M21" s="432"/>
      <c r="N21" s="432"/>
      <c r="O21" s="432"/>
      <c r="P21" s="432"/>
      <c r="Q21" s="432"/>
      <c r="R21" s="432"/>
      <c r="S21" s="432"/>
      <c r="T21" s="432"/>
      <c r="U21" s="432"/>
      <c r="V21" s="432"/>
      <c r="W21" s="432"/>
      <c r="X21" s="432"/>
      <c r="Y21" s="432"/>
      <c r="Z21" s="432"/>
      <c r="AA21" s="432"/>
      <c r="AB21" s="432"/>
      <c r="AC21" s="432"/>
      <c r="AD21" s="432"/>
      <c r="AE21" s="432"/>
      <c r="AF21" s="432"/>
      <c r="AG21" s="432"/>
      <c r="AH21" s="432"/>
      <c r="BI21" s="411">
        <v>19</v>
      </c>
      <c r="BJ21" s="410" t="str" cm="1">
        <f t="array" aca="1" ref="BJ21" ca="1" xml:space="preserve"> INDIRECT( ADDRESS( ROW($C$17), COLUMN($C$17) +$BI21) )</f>
        <v>ㆢ</v>
      </c>
      <c r="BK21" s="409" t="str" cm="1">
        <f t="array" aca="1" ref="BK21" ca="1" xml:space="preserve"> INDIRECT( ADDRESS( ROW($C$19), COLUMN($C$19) +$BI21) )</f>
        <v>ji</v>
      </c>
      <c r="BL21" s="408" t="str" cm="1">
        <f t="array" aca="1" ref="BL21" ca="1" xml:space="preserve"> INDIRECT( ADDRESS( ROW($C$18), COLUMN($C$18) +$BI21) )</f>
        <v>J</v>
      </c>
      <c r="BM21" s="407" t="str" cm="1">
        <f t="array" aca="1" ref="BM21" ca="1" xml:space="preserve"> INDIRECT( ADDRESS( ROW($C$16), COLUMN($C$16) +$BI21) )</f>
        <v>R</v>
      </c>
      <c r="BP21" s="517" t="str">
        <f t="shared" ca="1" si="0"/>
        <v>"R": { commit: "ㆢ" }</v>
      </c>
    </row>
    <row r="22" spans="1:68" s="412" customFormat="1" ht="31.5" customHeight="1">
      <c r="B22" s="422" t="s">
        <v>260</v>
      </c>
      <c r="C22" s="422"/>
      <c r="D22" s="422"/>
      <c r="E22" s="422"/>
      <c r="F22" s="422"/>
      <c r="G22" s="422"/>
      <c r="H22" s="422"/>
      <c r="I22" s="422"/>
      <c r="J22" s="422"/>
      <c r="K22" s="422"/>
      <c r="L22" s="422"/>
      <c r="M22" s="422"/>
      <c r="N22" s="422"/>
      <c r="O22" s="422"/>
      <c r="P22" s="422"/>
      <c r="Q22" s="422"/>
      <c r="R22" s="422"/>
      <c r="S22" s="422"/>
      <c r="T22" s="423" t="s">
        <v>593</v>
      </c>
      <c r="U22" s="422"/>
      <c r="V22" s="422"/>
      <c r="W22" s="422"/>
      <c r="X22" s="422"/>
      <c r="Y22" s="422"/>
      <c r="Z22" s="422"/>
      <c r="AA22" s="422"/>
      <c r="AB22" s="422"/>
      <c r="AC22" s="422"/>
      <c r="AD22" s="422"/>
      <c r="AE22" s="422"/>
      <c r="AF22" s="422"/>
      <c r="AG22" s="422"/>
      <c r="AH22" s="422"/>
      <c r="AI22" s="413"/>
      <c r="AJ22" s="413"/>
      <c r="AK22" s="413"/>
      <c r="AL22" s="413"/>
      <c r="AM22" s="413"/>
      <c r="AN22" s="413"/>
      <c r="AO22" s="413"/>
      <c r="AP22" s="413"/>
      <c r="AQ22" s="413"/>
      <c r="AR22" s="413"/>
      <c r="AS22" s="413"/>
      <c r="AT22" s="413"/>
      <c r="AU22" s="413"/>
      <c r="AV22" s="413"/>
      <c r="AW22" s="413"/>
      <c r="AX22" s="413"/>
      <c r="AY22" s="413"/>
      <c r="AZ22" s="413"/>
      <c r="BA22" s="413"/>
      <c r="BB22" s="413"/>
      <c r="BC22" s="413"/>
      <c r="BD22" s="413"/>
      <c r="BE22" s="413"/>
      <c r="BF22" s="413"/>
      <c r="BG22" s="413"/>
      <c r="BH22" s="413"/>
      <c r="BI22" s="411">
        <v>20</v>
      </c>
      <c r="BJ22" s="410" t="str" cm="1">
        <f t="array" aca="1" ref="BJ22" ca="1" xml:space="preserve"> INDIRECT( ADDRESS( ROW($C$17), COLUMN($C$17) +$BI22) )</f>
        <v>ㄒ</v>
      </c>
      <c r="BK22" s="409" t="str" cm="1">
        <f t="array" aca="1" ref="BK22" ca="1" xml:space="preserve"> INDIRECT( ADDRESS( ROW($C$19), COLUMN($C$19) +$BI22) )</f>
        <v>si</v>
      </c>
      <c r="BL22" s="408" t="str" cm="1">
        <f t="array" aca="1" ref="BL22" ca="1" xml:space="preserve"> INDIRECT( ADDRESS( ROW($C$18), COLUMN($C$18) +$BI22) )</f>
        <v>S</v>
      </c>
      <c r="BM22" s="407" t="str" cm="1">
        <f t="array" aca="1" ref="BM22" ca="1" xml:space="preserve"> INDIRECT( ADDRESS( ROW($C$16), COLUMN($C$16) +$BI22) )</f>
        <v>v</v>
      </c>
      <c r="BP22" s="517" t="str">
        <f t="shared" ca="1" si="0"/>
        <v>"v": { commit: "ㄒ" }</v>
      </c>
    </row>
    <row r="23" spans="1:68" s="412" customFormat="1" ht="31.5" customHeight="1">
      <c r="B23" s="431" t="s">
        <v>848</v>
      </c>
      <c r="C23" s="429"/>
      <c r="D23" s="430">
        <f xml:space="preserve"> LEN(E23)</f>
        <v>52</v>
      </c>
      <c r="E23" s="430" t="str">
        <f xml:space="preserve"> _xlfn.CONCAT(D18:BC18)</f>
        <v>pPbmtTnlkKgGzcjsZCJShiIuUaAOQoeEyYxXMNr}{@][RW123570</v>
      </c>
      <c r="F23" s="429"/>
      <c r="G23" s="429"/>
      <c r="H23" s="429"/>
      <c r="I23" s="429"/>
      <c r="J23" s="429"/>
      <c r="K23" s="429"/>
      <c r="L23" s="429"/>
      <c r="M23" s="429"/>
      <c r="N23" s="429"/>
      <c r="O23" s="429"/>
      <c r="P23" s="429"/>
      <c r="Q23" s="429"/>
      <c r="R23" s="429"/>
      <c r="S23" s="429"/>
      <c r="T23" s="429"/>
      <c r="U23" s="429"/>
      <c r="V23" s="429"/>
      <c r="W23" s="429"/>
      <c r="X23" s="429"/>
      <c r="Y23" s="429"/>
      <c r="Z23" s="429"/>
      <c r="AA23" s="429"/>
      <c r="AB23" s="429"/>
      <c r="AC23" s="429"/>
      <c r="AD23" s="429"/>
      <c r="AE23" s="429"/>
      <c r="AF23" s="429"/>
      <c r="AG23" s="429"/>
      <c r="AH23" s="413"/>
      <c r="AI23" s="425"/>
      <c r="AJ23" s="413"/>
      <c r="AK23" s="413"/>
      <c r="AL23" s="413" t="str">
        <f xml:space="preserve"> MID(E23,AK24,1)</f>
        <v>0</v>
      </c>
      <c r="AM23" s="413"/>
      <c r="AN23" s="413"/>
      <c r="AO23" s="413"/>
      <c r="AP23" s="413"/>
      <c r="AQ23" s="413"/>
      <c r="AR23" s="413"/>
      <c r="AS23" s="413"/>
      <c r="AT23" s="413"/>
      <c r="AU23" s="413"/>
      <c r="AV23" s="413"/>
      <c r="AW23" s="413"/>
      <c r="AX23" s="413"/>
      <c r="AY23" s="413"/>
      <c r="AZ23" s="413"/>
      <c r="BA23" s="413"/>
      <c r="BB23" s="413"/>
      <c r="BC23" s="413"/>
      <c r="BD23" s="413"/>
      <c r="BE23" s="413"/>
      <c r="BF23" s="413"/>
      <c r="BG23" s="413"/>
      <c r="BH23" s="413"/>
      <c r="BI23" s="411">
        <v>21</v>
      </c>
      <c r="BJ23" s="410" t="str" cm="1">
        <f t="array" aca="1" ref="BJ23" ca="1" xml:space="preserve"> INDIRECT( ADDRESS( ROW($C$17), COLUMN($C$17) +$BI23) )</f>
        <v>ㄏ</v>
      </c>
      <c r="BK23" s="409" t="str" cm="1">
        <f t="array" aca="1" ref="BK23" ca="1" xml:space="preserve"> INDIRECT( ADDRESS( ROW($C$19), COLUMN($C$19) +$BI23) )</f>
        <v>h</v>
      </c>
      <c r="BL23" s="408" t="str" cm="1">
        <f t="array" aca="1" ref="BL23" ca="1" xml:space="preserve"> INDIRECT( ADDRESS( ROW($C$18), COLUMN($C$18) +$BI23) )</f>
        <v>h</v>
      </c>
      <c r="BM23" s="407" t="str" cm="1">
        <f t="array" aca="1" ref="BM23" ca="1" xml:space="preserve"> INDIRECT( ADDRESS( ROW($C$16), COLUMN($C$16) +$BI23) )</f>
        <v>c</v>
      </c>
      <c r="BP23" s="517" t="str">
        <f t="shared" ca="1" si="0"/>
        <v>"c": { commit: "ㄏ" }</v>
      </c>
    </row>
    <row r="24" spans="1:68" s="412" customFormat="1" ht="31.5" customHeight="1">
      <c r="B24" s="428" t="s">
        <v>798</v>
      </c>
      <c r="C24" s="426"/>
      <c r="D24" s="427">
        <f xml:space="preserve"> LEN(E24)</f>
        <v>52</v>
      </c>
      <c r="E24" s="427" t="str">
        <f xml:space="preserve"> _xlfn.CONCAT(D16:BC16)</f>
        <v>1q!a2wsxedEgyhYnrfRvcuUjJ8*iIk,&lt;9(lLmp/Bb0.;?u 43657</v>
      </c>
      <c r="F24" s="426"/>
      <c r="G24" s="426"/>
      <c r="H24" s="426"/>
      <c r="I24" s="426"/>
      <c r="J24" s="426"/>
      <c r="K24" s="426"/>
      <c r="L24" s="426"/>
      <c r="M24" s="426"/>
      <c r="N24" s="426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13"/>
      <c r="AI24" s="425">
        <v>7</v>
      </c>
      <c r="AJ24" s="413"/>
      <c r="AK24" s="413">
        <f xml:space="preserve"> FIND(AI24,  E24)</f>
        <v>52</v>
      </c>
      <c r="AL24" s="413"/>
      <c r="AM24" s="413"/>
      <c r="AN24" s="413"/>
      <c r="AO24" s="413"/>
      <c r="AP24" s="413"/>
      <c r="AQ24" s="413"/>
      <c r="AR24" s="413"/>
      <c r="AS24" s="413"/>
      <c r="AT24" s="413"/>
      <c r="AU24" s="413"/>
      <c r="AV24" s="413"/>
      <c r="AW24" s="413"/>
      <c r="AX24" s="413"/>
      <c r="AY24" s="413"/>
      <c r="AZ24" s="413"/>
      <c r="BA24" s="413"/>
      <c r="BB24" s="413"/>
      <c r="BC24" s="413"/>
      <c r="BD24" s="413"/>
      <c r="BE24" s="413"/>
      <c r="BF24" s="413"/>
      <c r="BG24" s="413"/>
      <c r="BH24" s="413"/>
      <c r="BI24" s="411">
        <v>22</v>
      </c>
      <c r="BJ24" s="410" t="str" cm="1">
        <f t="array" aca="1" ref="BJ24" ca="1" xml:space="preserve"> INDIRECT( ADDRESS( ROW($C$17), COLUMN($C$17) +$BI24) )</f>
        <v>ㄧ</v>
      </c>
      <c r="BK24" s="409" t="str" cm="1">
        <f t="array" aca="1" ref="BK24" ca="1" xml:space="preserve"> INDIRECT( ADDRESS( ROW($C$19), COLUMN($C$19) +$BI24) )</f>
        <v>i</v>
      </c>
      <c r="BL24" s="408" t="str" cm="1">
        <f t="array" aca="1" ref="BL24" ca="1" xml:space="preserve"> INDIRECT( ADDRESS( ROW($C$18), COLUMN($C$18) +$BI24) )</f>
        <v>i</v>
      </c>
      <c r="BM24" s="407" t="str" cm="1">
        <f t="array" aca="1" ref="BM24" ca="1" xml:space="preserve"> INDIRECT( ADDRESS( ROW($C$16), COLUMN($C$16) +$BI24) )</f>
        <v>u</v>
      </c>
      <c r="BP24" s="517" t="str">
        <f t="shared" ca="1" si="0"/>
        <v>"u": { commit: "ㄧ" }</v>
      </c>
    </row>
    <row r="25" spans="1:68" s="412" customFormat="1" ht="31.5" customHeight="1">
      <c r="B25" s="416" t="str">
        <f xml:space="preserve"> "- xlit|" &amp; E23 &amp; "|" &amp; E24 &amp; "|"</f>
        <v>- xlit|pPbmtTnlkKgGzcjsZCJShiIuUaAOQoeEyYxXMNr}{@][RW123570|1q!a2wsxedEgyhYnrfRvcuUjJ8*iIk,&lt;9(lLmp/Bb0.;?u 43657|</v>
      </c>
      <c r="C25" s="414"/>
      <c r="D25" s="414"/>
      <c r="E25" s="414"/>
      <c r="F25" s="414"/>
      <c r="G25" s="414"/>
      <c r="H25" s="414"/>
      <c r="I25" s="414"/>
      <c r="J25" s="414"/>
      <c r="K25" s="414"/>
      <c r="L25" s="414"/>
      <c r="M25" s="414"/>
      <c r="N25" s="414"/>
      <c r="O25" s="414"/>
      <c r="P25" s="414"/>
      <c r="Q25" s="414"/>
      <c r="R25" s="414"/>
      <c r="S25" s="414"/>
      <c r="T25" s="414"/>
      <c r="U25" s="414"/>
      <c r="V25" s="414"/>
      <c r="W25" s="414"/>
      <c r="X25" s="414"/>
      <c r="Y25" s="414"/>
      <c r="Z25" s="414"/>
      <c r="AA25" s="414"/>
      <c r="AB25" s="414"/>
      <c r="AC25" s="414"/>
      <c r="AD25" s="414"/>
      <c r="AE25" s="414"/>
      <c r="AF25" s="414"/>
      <c r="AG25" s="414"/>
      <c r="AH25" s="413"/>
      <c r="AI25" s="413"/>
      <c r="AJ25" s="413"/>
      <c r="AK25" s="413"/>
      <c r="AL25" s="413"/>
      <c r="AM25" s="413"/>
      <c r="AN25" s="413"/>
      <c r="AO25" s="413"/>
      <c r="AP25" s="413"/>
      <c r="AQ25" s="413"/>
      <c r="AR25" s="413"/>
      <c r="AS25" s="413"/>
      <c r="AT25" s="413"/>
      <c r="AU25" s="413"/>
      <c r="AV25" s="413"/>
      <c r="AW25" s="413"/>
      <c r="AX25" s="413"/>
      <c r="AY25" s="413"/>
      <c r="AZ25" s="413"/>
      <c r="BA25" s="413"/>
      <c r="BB25" s="413"/>
      <c r="BC25" s="413"/>
      <c r="BD25" s="413"/>
      <c r="BE25" s="413"/>
      <c r="BF25" s="413"/>
      <c r="BG25" s="413"/>
      <c r="BH25" s="413"/>
      <c r="BI25" s="411">
        <v>23</v>
      </c>
      <c r="BJ25" s="410" t="str" cm="1">
        <f t="array" aca="1" ref="BJ25" ca="1" xml:space="preserve"> INDIRECT( ADDRESS( ROW($C$17), COLUMN($C$17) +$BI25) )</f>
        <v>ㆪ</v>
      </c>
      <c r="BK25" s="409" t="str" cm="1">
        <f t="array" aca="1" ref="BK25" ca="1" xml:space="preserve"> INDIRECT( ADDRESS( ROW($C$19), COLUMN($C$19) +$BI25) )</f>
        <v>inn</v>
      </c>
      <c r="BL25" s="408" t="str" cm="1">
        <f t="array" aca="1" ref="BL25" ca="1" xml:space="preserve"> INDIRECT( ADDRESS( ROW($C$18), COLUMN($C$18) +$BI25) )</f>
        <v>I</v>
      </c>
      <c r="BM25" s="407" t="str" cm="1">
        <f t="array" aca="1" ref="BM25" ca="1" xml:space="preserve"> INDIRECT( ADDRESS( ROW($C$16), COLUMN($C$16) +$BI25) )</f>
        <v>U</v>
      </c>
      <c r="BP25" s="517" t="str">
        <f t="shared" ca="1" si="0"/>
        <v>"U": { commit: "ㆪ" }</v>
      </c>
    </row>
    <row r="26" spans="1:68" s="412" customFormat="1" ht="31.5" customHeight="1">
      <c r="AH26" s="413"/>
      <c r="AI26" s="413"/>
      <c r="AJ26" s="413"/>
      <c r="AK26" s="413"/>
      <c r="AL26" s="413"/>
      <c r="AM26" s="413"/>
      <c r="AN26" s="413"/>
      <c r="AO26" s="413"/>
      <c r="AP26" s="413"/>
      <c r="AQ26" s="413"/>
      <c r="AR26" s="413"/>
      <c r="AS26" s="413"/>
      <c r="AT26" s="413"/>
      <c r="AU26" s="413"/>
      <c r="AV26" s="413"/>
      <c r="AW26" s="413"/>
      <c r="AX26" s="413"/>
      <c r="AY26" s="413"/>
      <c r="AZ26" s="413"/>
      <c r="BA26" s="413"/>
      <c r="BB26" s="413"/>
      <c r="BC26" s="413"/>
      <c r="BD26" s="413"/>
      <c r="BE26" s="413"/>
      <c r="BF26" s="413"/>
      <c r="BG26" s="413"/>
      <c r="BH26" s="413"/>
      <c r="BI26" s="411">
        <v>24</v>
      </c>
      <c r="BJ26" s="410" t="str" cm="1">
        <f t="array" aca="1" ref="BJ26" ca="1" xml:space="preserve"> INDIRECT( ADDRESS( ROW($C$17), COLUMN($C$17) +$BI26) )</f>
        <v>ㄨ</v>
      </c>
      <c r="BK26" s="409" t="str" cm="1">
        <f t="array" aca="1" ref="BK26" ca="1" xml:space="preserve"> INDIRECT( ADDRESS( ROW($C$19), COLUMN($C$19) +$BI26) )</f>
        <v>u</v>
      </c>
      <c r="BL26" s="408" t="str" cm="1">
        <f t="array" aca="1" ref="BL26" ca="1" xml:space="preserve"> INDIRECT( ADDRESS( ROW($C$18), COLUMN($C$18) +$BI26) )</f>
        <v>u</v>
      </c>
      <c r="BM26" s="407" t="str" cm="1">
        <f t="array" aca="1" ref="BM26" ca="1" xml:space="preserve"> INDIRECT( ADDRESS( ROW($C$16), COLUMN($C$16) +$BI26) )</f>
        <v>j</v>
      </c>
      <c r="BP26" s="517" t="str">
        <f t="shared" ca="1" si="0"/>
        <v>"j": { commit: "ㄨ" }</v>
      </c>
    </row>
    <row r="27" spans="1:68" s="412" customFormat="1" ht="31.5" customHeight="1">
      <c r="B27" s="424" t="s">
        <v>263</v>
      </c>
      <c r="C27" s="422"/>
      <c r="D27" s="422"/>
      <c r="E27" s="422"/>
      <c r="F27" s="422"/>
      <c r="G27" s="422"/>
      <c r="H27" s="422"/>
      <c r="I27" s="422"/>
      <c r="J27" s="422"/>
      <c r="K27" s="422"/>
      <c r="L27" s="422"/>
      <c r="M27" s="422"/>
      <c r="N27" s="422"/>
      <c r="O27" s="422"/>
      <c r="P27" s="422"/>
      <c r="Q27" s="422"/>
      <c r="R27" s="422"/>
      <c r="S27" s="422"/>
      <c r="T27" s="422"/>
      <c r="U27" s="422"/>
      <c r="V27" s="422"/>
      <c r="W27" s="422"/>
      <c r="X27" s="422"/>
      <c r="Y27" s="422"/>
      <c r="Z27" s="422"/>
      <c r="AA27" s="422"/>
      <c r="AB27" s="422"/>
      <c r="AC27" s="422"/>
      <c r="AD27" s="422"/>
      <c r="AE27" s="422"/>
      <c r="AF27" s="422"/>
      <c r="AG27" s="422"/>
      <c r="AH27" s="413"/>
      <c r="AI27" s="413"/>
      <c r="AJ27" s="413"/>
      <c r="AK27" s="413"/>
      <c r="AL27" s="413"/>
      <c r="AM27" s="413"/>
      <c r="AN27" s="413"/>
      <c r="AO27" s="413"/>
      <c r="AP27" s="413"/>
      <c r="AQ27" s="413"/>
      <c r="AR27" s="413"/>
      <c r="AS27" s="413"/>
      <c r="AT27" s="413"/>
      <c r="AU27" s="413"/>
      <c r="AV27" s="413"/>
      <c r="AW27" s="413"/>
      <c r="AX27" s="413"/>
      <c r="AY27" s="413"/>
      <c r="AZ27" s="413"/>
      <c r="BA27" s="413"/>
      <c r="BB27" s="413"/>
      <c r="BC27" s="413"/>
      <c r="BD27" s="413"/>
      <c r="BE27" s="413"/>
      <c r="BF27" s="413"/>
      <c r="BG27" s="413"/>
      <c r="BH27" s="413"/>
      <c r="BI27" s="411">
        <v>25</v>
      </c>
      <c r="BJ27" s="410" t="str" cm="1">
        <f t="array" aca="1" ref="BJ27" ca="1" xml:space="preserve"> INDIRECT( ADDRESS( ROW($C$17), COLUMN($C$17) +$BI27) )</f>
        <v>ㆫ</v>
      </c>
      <c r="BK27" s="409" t="str" cm="1">
        <f t="array" aca="1" ref="BK27" ca="1" xml:space="preserve"> INDIRECT( ADDRESS( ROW($C$19), COLUMN($C$19) +$BI27) )</f>
        <v>unn</v>
      </c>
      <c r="BL27" s="408" t="str" cm="1">
        <f t="array" aca="1" ref="BL27" ca="1" xml:space="preserve"> INDIRECT( ADDRESS( ROW($C$18), COLUMN($C$18) +$BI27) )</f>
        <v>U</v>
      </c>
      <c r="BM27" s="407" t="str" cm="1">
        <f t="array" aca="1" ref="BM27" ca="1" xml:space="preserve"> INDIRECT( ADDRESS( ROW($C$16), COLUMN($C$16) +$BI27) )</f>
        <v>J</v>
      </c>
      <c r="BP27" s="517" t="str">
        <f t="shared" ca="1" si="0"/>
        <v>"J": { commit: "ㆫ" }</v>
      </c>
    </row>
    <row r="28" spans="1:68" s="412" customFormat="1" ht="31.5" customHeight="1">
      <c r="B28" s="422" t="s">
        <v>261</v>
      </c>
      <c r="C28" s="422"/>
      <c r="D28" s="422"/>
      <c r="E28" s="422"/>
      <c r="F28" s="422"/>
      <c r="G28" s="422"/>
      <c r="H28" s="422"/>
      <c r="I28" s="422"/>
      <c r="J28" s="422"/>
      <c r="K28" s="422"/>
      <c r="L28" s="422"/>
      <c r="M28" s="422"/>
      <c r="N28" s="422"/>
      <c r="O28" s="422"/>
      <c r="P28" s="422"/>
      <c r="Q28" s="422"/>
      <c r="R28" s="422"/>
      <c r="S28" s="423" t="s">
        <v>597</v>
      </c>
      <c r="T28" s="422"/>
      <c r="U28" s="422"/>
      <c r="V28" s="422"/>
      <c r="W28" s="422"/>
      <c r="X28" s="422"/>
      <c r="Y28" s="422"/>
      <c r="Z28" s="422"/>
      <c r="AA28" s="422"/>
      <c r="AB28" s="422"/>
      <c r="AC28" s="422"/>
      <c r="AD28" s="422"/>
      <c r="AE28" s="422"/>
      <c r="AF28" s="422"/>
      <c r="AG28" s="422"/>
      <c r="AH28" s="413"/>
      <c r="AI28" s="413"/>
      <c r="AJ28" s="413"/>
      <c r="AK28" s="413"/>
      <c r="AL28" s="413"/>
      <c r="AM28" s="413"/>
      <c r="AN28" s="413"/>
      <c r="AO28" s="413"/>
      <c r="AP28" s="413"/>
      <c r="AQ28" s="413"/>
      <c r="AR28" s="413"/>
      <c r="AS28" s="413"/>
      <c r="AT28" s="413"/>
      <c r="AU28" s="413"/>
      <c r="AV28" s="413"/>
      <c r="AW28" s="413"/>
      <c r="AX28" s="413"/>
      <c r="AY28" s="413"/>
      <c r="AZ28" s="413"/>
      <c r="BA28" s="413"/>
      <c r="BB28" s="413"/>
      <c r="BC28" s="413"/>
      <c r="BD28" s="413"/>
      <c r="BE28" s="413"/>
      <c r="BF28" s="413"/>
      <c r="BG28" s="413"/>
      <c r="BH28" s="413"/>
      <c r="BI28" s="411">
        <v>26</v>
      </c>
      <c r="BJ28" s="410" t="str" cm="1">
        <f t="array" aca="1" ref="BJ28" ca="1" xml:space="preserve"> INDIRECT( ADDRESS( ROW($C$17), COLUMN($C$17) +$BI28) )</f>
        <v>ㄚ</v>
      </c>
      <c r="BK28" s="409" t="str" cm="1">
        <f t="array" aca="1" ref="BK28" ca="1" xml:space="preserve"> INDIRECT( ADDRESS( ROW($C$19), COLUMN($C$19) +$BI28) )</f>
        <v>a</v>
      </c>
      <c r="BL28" s="408" t="str" cm="1">
        <f t="array" aca="1" ref="BL28" ca="1" xml:space="preserve"> INDIRECT( ADDRESS( ROW($C$18), COLUMN($C$18) +$BI28) )</f>
        <v>a</v>
      </c>
      <c r="BM28" s="407" cm="1">
        <f t="array" aca="1" ref="BM28" ca="1" xml:space="preserve"> INDIRECT( ADDRESS( ROW($C$16), COLUMN($C$16) +$BI28) )</f>
        <v>8</v>
      </c>
      <c r="BP28" s="517" t="str">
        <f t="shared" ca="1" si="0"/>
        <v>"8": { commit: "ㄚ" }</v>
      </c>
    </row>
    <row r="29" spans="1:68" s="412" customFormat="1" ht="31.5" customHeight="1">
      <c r="B29" s="421" t="s">
        <v>167</v>
      </c>
      <c r="C29" s="420"/>
      <c r="D29" s="420">
        <f xml:space="preserve"> LEN(E29)</f>
        <v>52</v>
      </c>
      <c r="E29" s="419" t="str">
        <f xml:space="preserve"> _xlfn.CONCAT(D16:BC16)</f>
        <v>1q!a2wsxedEgyhYnrfRvcuUjJ8*iIk,&lt;9(lLmp/Bb0.;?u 43657</v>
      </c>
      <c r="F29" s="419"/>
      <c r="G29" s="419"/>
      <c r="H29" s="419"/>
      <c r="I29" s="419"/>
      <c r="J29" s="419"/>
      <c r="K29" s="419"/>
      <c r="L29" s="419"/>
      <c r="M29" s="419"/>
      <c r="N29" s="419"/>
      <c r="O29" s="419"/>
      <c r="P29" s="419"/>
      <c r="Q29" s="419"/>
      <c r="R29" s="419"/>
      <c r="S29" s="419"/>
      <c r="T29" s="419"/>
      <c r="U29" s="419"/>
      <c r="V29" s="419"/>
      <c r="W29" s="419"/>
      <c r="X29" s="419"/>
      <c r="Y29" s="419"/>
      <c r="Z29" s="419"/>
      <c r="AA29" s="419"/>
      <c r="AB29" s="419"/>
      <c r="AC29" s="419"/>
      <c r="AD29" s="419"/>
      <c r="AE29" s="419"/>
      <c r="AF29" s="419"/>
      <c r="AG29" s="419"/>
      <c r="AH29" s="413"/>
      <c r="AI29" s="413"/>
      <c r="AJ29" s="413"/>
      <c r="AK29" s="413"/>
      <c r="AL29" s="413"/>
      <c r="AM29" s="413"/>
      <c r="AN29" s="413"/>
      <c r="AO29" s="413"/>
      <c r="AP29" s="413"/>
      <c r="AQ29" s="413"/>
      <c r="AR29" s="413"/>
      <c r="AS29" s="413"/>
      <c r="AT29" s="413"/>
      <c r="AU29" s="413"/>
      <c r="AV29" s="413"/>
      <c r="AW29" s="413"/>
      <c r="AX29" s="413"/>
      <c r="AY29" s="413"/>
      <c r="AZ29" s="413"/>
      <c r="BA29" s="413"/>
      <c r="BB29" s="413"/>
      <c r="BC29" s="413"/>
      <c r="BD29" s="413"/>
      <c r="BE29" s="413"/>
      <c r="BF29" s="413"/>
      <c r="BG29" s="413"/>
      <c r="BH29" s="413"/>
      <c r="BI29" s="411">
        <v>27</v>
      </c>
      <c r="BJ29" s="410" t="str" cm="1">
        <f t="array" aca="1" ref="BJ29" ca="1" xml:space="preserve"> INDIRECT( ADDRESS( ROW($C$17), COLUMN($C$17) +$BI29) )</f>
        <v>ㆩ</v>
      </c>
      <c r="BK29" s="409" t="str" cm="1">
        <f t="array" aca="1" ref="BK29" ca="1" xml:space="preserve"> INDIRECT( ADDRESS( ROW($C$19), COLUMN($C$19) +$BI29) )</f>
        <v>ann</v>
      </c>
      <c r="BL29" s="408" t="str" cm="1">
        <f t="array" aca="1" ref="BL29" ca="1" xml:space="preserve"> INDIRECT( ADDRESS( ROW($C$18), COLUMN($C$18) +$BI29) )</f>
        <v>A</v>
      </c>
      <c r="BM29" s="407" t="str" cm="1">
        <f t="array" aca="1" ref="BM29" ca="1" xml:space="preserve"> INDIRECT( ADDRESS( ROW($C$16), COLUMN($C$16) +$BI29) )</f>
        <v>*</v>
      </c>
      <c r="BP29" s="517" t="str">
        <f t="shared" ca="1" si="0"/>
        <v>"*": { commit: "ㆩ" }</v>
      </c>
    </row>
    <row r="30" spans="1:68" s="412" customFormat="1" ht="31.5" customHeight="1">
      <c r="B30" s="417" t="s">
        <v>104</v>
      </c>
      <c r="C30" s="418"/>
      <c r="D30" s="418">
        <f>LEN(E30)</f>
        <v>52</v>
      </c>
      <c r="E30" s="417" t="str">
        <f xml:space="preserve"> _xlfn.CONCAT(D17:BC17)</f>
        <v>ㄅㄆㆠㄇㄉㄊㄋㄌㄍㄎㆣㄫㄗㄘㆡㄙㄐㄑㆢㄒㄏㄧㆪㄨㆫㄚㆩㆦㆧㄜㆤㆥㄞㆮㄠㆯㆬㄣㆭㆱㆰㄢㆲㄤㄥㆨ ˋ˪ˊ˫˙</v>
      </c>
      <c r="F30" s="417"/>
      <c r="G30" s="417"/>
      <c r="H30" s="417"/>
      <c r="I30" s="417"/>
      <c r="J30" s="417"/>
      <c r="K30" s="417"/>
      <c r="L30" s="417"/>
      <c r="M30" s="417"/>
      <c r="N30" s="417"/>
      <c r="O30" s="417"/>
      <c r="P30" s="417"/>
      <c r="Q30" s="417"/>
      <c r="R30" s="417"/>
      <c r="S30" s="417"/>
      <c r="T30" s="417"/>
      <c r="U30" s="417"/>
      <c r="V30" s="417"/>
      <c r="W30" s="417"/>
      <c r="X30" s="417"/>
      <c r="Y30" s="417"/>
      <c r="Z30" s="417"/>
      <c r="AA30" s="417"/>
      <c r="AB30" s="417"/>
      <c r="AC30" s="417"/>
      <c r="AD30" s="417"/>
      <c r="AE30" s="417"/>
      <c r="AF30" s="417"/>
      <c r="AG30" s="417"/>
      <c r="AH30" s="413"/>
      <c r="AI30" s="413"/>
      <c r="AJ30" s="413"/>
      <c r="AK30" s="413"/>
      <c r="AL30" s="413"/>
      <c r="AM30" s="413"/>
      <c r="AN30" s="413"/>
      <c r="AO30" s="413"/>
      <c r="AP30" s="413"/>
      <c r="AQ30" s="413"/>
      <c r="AR30" s="413"/>
      <c r="AS30" s="413"/>
      <c r="AT30" s="413"/>
      <c r="AU30" s="413"/>
      <c r="AV30" s="413"/>
      <c r="AW30" s="413"/>
      <c r="AX30" s="413"/>
      <c r="AY30" s="413"/>
      <c r="AZ30" s="413"/>
      <c r="BA30" s="413"/>
      <c r="BB30" s="413"/>
      <c r="BC30" s="413"/>
      <c r="BD30" s="413"/>
      <c r="BE30" s="413"/>
      <c r="BF30" s="413"/>
      <c r="BG30" s="413"/>
      <c r="BH30" s="413"/>
      <c r="BI30" s="411">
        <v>28</v>
      </c>
      <c r="BJ30" s="410" t="str" cm="1">
        <f t="array" aca="1" ref="BJ30" ca="1" xml:space="preserve"> INDIRECT( ADDRESS( ROW($C$17), COLUMN($C$17) +$BI30) )</f>
        <v>ㆦ</v>
      </c>
      <c r="BK30" s="409" t="str" cm="1">
        <f t="array" aca="1" ref="BK30" ca="1" xml:space="preserve"> INDIRECT( ADDRESS( ROW($C$19), COLUMN($C$19) +$BI30) )</f>
        <v>o</v>
      </c>
      <c r="BL30" s="408" t="str" cm="1">
        <f t="array" aca="1" ref="BL30" ca="1" xml:space="preserve"> INDIRECT( ADDRESS( ROW($C$18), COLUMN($C$18) +$BI30) )</f>
        <v>O</v>
      </c>
      <c r="BM30" s="407" t="str" cm="1">
        <f t="array" aca="1" ref="BM30" ca="1" xml:space="preserve"> INDIRECT( ADDRESS( ROW($C$16), COLUMN($C$16) +$BI30) )</f>
        <v>i</v>
      </c>
      <c r="BP30" s="517" t="str">
        <f t="shared" ca="1" si="0"/>
        <v>"i": { commit: "ㆦ" }</v>
      </c>
    </row>
    <row r="31" spans="1:68" s="412" customFormat="1" ht="31.5" customHeight="1">
      <c r="B31" s="416" t="str">
        <f xml:space="preserve"> "- xlit|" &amp; E29 &amp; "|" &amp; E30 &amp; "|"</f>
        <v>- xlit|1q!a2wsxedEgyhYnrfRvcuUjJ8*iIk,&lt;9(lLmp/Bb0.;?u 43657|ㄅㄆㆠㄇㄉㄊㄋㄌㄍㄎㆣㄫㄗㄘㆡㄙㄐㄑㆢㄒㄏㄧㆪㄨㆫㄚㆩㆦㆧㄜㆤㆥㄞㆮㄠㆯㆬㄣㆭㆱㆰㄢㆲㄤㄥㆨ ˋ˪ˊ˫˙|</v>
      </c>
      <c r="C31" s="415"/>
      <c r="D31" s="415"/>
      <c r="E31" s="415"/>
      <c r="F31" s="415"/>
      <c r="G31" s="415"/>
      <c r="H31" s="415"/>
      <c r="I31" s="415"/>
      <c r="J31" s="415"/>
      <c r="K31" s="415"/>
      <c r="L31" s="415"/>
      <c r="M31" s="415"/>
      <c r="N31" s="415"/>
      <c r="O31" s="415"/>
      <c r="P31" s="415"/>
      <c r="Q31" s="415"/>
      <c r="R31" s="415"/>
      <c r="S31" s="415"/>
      <c r="T31" s="415"/>
      <c r="U31" s="415"/>
      <c r="V31" s="415"/>
      <c r="W31" s="415"/>
      <c r="X31" s="415"/>
      <c r="Y31" s="415"/>
      <c r="Z31" s="415"/>
      <c r="AA31" s="415"/>
      <c r="AB31" s="415"/>
      <c r="AC31" s="415"/>
      <c r="AD31" s="415"/>
      <c r="AE31" s="415"/>
      <c r="AF31" s="415"/>
      <c r="AG31" s="414"/>
      <c r="AH31" s="413"/>
      <c r="AI31" s="413"/>
      <c r="AJ31" s="413"/>
      <c r="AK31" s="413"/>
      <c r="AL31" s="413"/>
      <c r="AM31" s="413"/>
      <c r="AN31" s="413"/>
      <c r="AO31" s="413"/>
      <c r="AP31" s="413"/>
      <c r="AQ31" s="413"/>
      <c r="AR31" s="413"/>
      <c r="AS31" s="413"/>
      <c r="AT31" s="413"/>
      <c r="AU31" s="413"/>
      <c r="AV31" s="413"/>
      <c r="AW31" s="413"/>
      <c r="AX31" s="413"/>
      <c r="AY31" s="413"/>
      <c r="AZ31" s="413"/>
      <c r="BA31" s="413"/>
      <c r="BB31" s="413"/>
      <c r="BC31" s="413"/>
      <c r="BD31" s="413"/>
      <c r="BE31" s="413"/>
      <c r="BF31" s="413"/>
      <c r="BG31" s="413"/>
      <c r="BH31" s="413"/>
      <c r="BI31" s="411">
        <v>29</v>
      </c>
      <c r="BJ31" s="410" t="str" cm="1">
        <f t="array" aca="1" ref="BJ31" ca="1" xml:space="preserve"> INDIRECT( ADDRESS( ROW($C$17), COLUMN($C$17) +$BI31) )</f>
        <v>ㆧ</v>
      </c>
      <c r="BK31" s="409" t="str" cm="1">
        <f t="array" aca="1" ref="BK31" ca="1" xml:space="preserve"> INDIRECT( ADDRESS( ROW($C$19), COLUMN($C$19) +$BI31) )</f>
        <v>onn</v>
      </c>
      <c r="BL31" s="408" t="str" cm="1">
        <f t="array" aca="1" ref="BL31" ca="1" xml:space="preserve"> INDIRECT( ADDRESS( ROW($C$18), COLUMN($C$18) +$BI31) )</f>
        <v>Q</v>
      </c>
      <c r="BM31" s="407" t="str" cm="1">
        <f t="array" aca="1" ref="BM31" ca="1" xml:space="preserve"> INDIRECT( ADDRESS( ROW($C$16), COLUMN($C$16) +$BI31) )</f>
        <v>I</v>
      </c>
      <c r="BP31" s="517" t="str">
        <f t="shared" ca="1" si="0"/>
        <v>"I": { commit: "ㆧ" }</v>
      </c>
    </row>
    <row r="32" spans="1:68" s="412" customFormat="1" ht="31.5" customHeight="1">
      <c r="B32" s="406"/>
      <c r="C32" s="406"/>
      <c r="D32" s="406"/>
      <c r="E32" s="406"/>
      <c r="F32" s="406"/>
      <c r="G32" s="406"/>
      <c r="H32" s="406"/>
      <c r="I32" s="406"/>
      <c r="J32" s="406"/>
      <c r="K32" s="406"/>
      <c r="L32" s="406"/>
      <c r="M32" s="406"/>
      <c r="N32" s="406"/>
      <c r="O32" s="406"/>
      <c r="P32" s="406"/>
      <c r="Q32" s="406"/>
      <c r="R32" s="406"/>
      <c r="S32" s="406"/>
      <c r="T32" s="406"/>
      <c r="U32" s="406"/>
      <c r="V32" s="406"/>
      <c r="W32" s="406"/>
      <c r="X32" s="406"/>
      <c r="Y32" s="406"/>
      <c r="Z32" s="406"/>
      <c r="AA32" s="406"/>
      <c r="AB32" s="406"/>
      <c r="AC32" s="406"/>
      <c r="AD32" s="406"/>
      <c r="AE32" s="406"/>
      <c r="AF32" s="406"/>
      <c r="AG32" s="406"/>
      <c r="AH32" s="413"/>
      <c r="AI32" s="413"/>
      <c r="AJ32" s="413"/>
      <c r="AK32" s="413"/>
      <c r="AL32" s="413"/>
      <c r="AM32" s="413"/>
      <c r="AN32" s="413"/>
      <c r="AO32" s="413"/>
      <c r="AP32" s="413"/>
      <c r="AQ32" s="413"/>
      <c r="AR32" s="413"/>
      <c r="AS32" s="413"/>
      <c r="AT32" s="413"/>
      <c r="AU32" s="413"/>
      <c r="AV32" s="413"/>
      <c r="AW32" s="413"/>
      <c r="AX32" s="413"/>
      <c r="AY32" s="413"/>
      <c r="AZ32" s="413"/>
      <c r="BA32" s="413"/>
      <c r="BB32" s="413"/>
      <c r="BC32" s="413"/>
      <c r="BD32" s="413"/>
      <c r="BE32" s="413"/>
      <c r="BF32" s="413"/>
      <c r="BG32" s="413"/>
      <c r="BH32" s="413"/>
      <c r="BI32" s="411">
        <v>30</v>
      </c>
      <c r="BJ32" s="410" t="str" cm="1">
        <f t="array" aca="1" ref="BJ32" ca="1" xml:space="preserve"> INDIRECT( ADDRESS( ROW($C$17), COLUMN($C$17) +$BI32) )</f>
        <v>ㄜ</v>
      </c>
      <c r="BK32" s="409" t="str" cm="1">
        <f t="array" aca="1" ref="BK32" ca="1" xml:space="preserve"> INDIRECT( ADDRESS( ROW($C$19), COLUMN($C$19) +$BI32) )</f>
        <v>o</v>
      </c>
      <c r="BL32" s="408" t="str" cm="1">
        <f t="array" aca="1" ref="BL32" ca="1" xml:space="preserve"> INDIRECT( ADDRESS( ROW($C$18), COLUMN($C$18) +$BI32) )</f>
        <v>o</v>
      </c>
      <c r="BM32" s="407" t="str" cm="1">
        <f t="array" aca="1" ref="BM32" ca="1" xml:space="preserve"> INDIRECT( ADDRESS( ROW($C$16), COLUMN($C$16) +$BI32) )</f>
        <v>k</v>
      </c>
      <c r="BP32" s="517" t="str">
        <f t="shared" ca="1" si="0"/>
        <v>"k": { commit: "ㄜ" }</v>
      </c>
    </row>
    <row r="33" spans="2:68" s="412" customFormat="1" ht="31.5" customHeight="1">
      <c r="B33" s="424" t="s">
        <v>847</v>
      </c>
      <c r="C33" s="422"/>
      <c r="D33" s="422"/>
      <c r="E33" s="422"/>
      <c r="F33" s="422"/>
      <c r="G33" s="422"/>
      <c r="H33" s="422"/>
      <c r="I33" s="422"/>
      <c r="J33" s="422"/>
      <c r="K33" s="422"/>
      <c r="L33" s="422"/>
      <c r="M33" s="422"/>
      <c r="N33" s="422"/>
      <c r="O33" s="422"/>
      <c r="P33" s="422"/>
      <c r="Q33" s="422"/>
      <c r="R33" s="422"/>
      <c r="S33" s="422"/>
      <c r="T33" s="422"/>
      <c r="U33" s="422"/>
      <c r="V33" s="422"/>
      <c r="W33" s="422"/>
      <c r="X33" s="422"/>
      <c r="Y33" s="422"/>
      <c r="Z33" s="422"/>
      <c r="AA33" s="422"/>
      <c r="AB33" s="422"/>
      <c r="AC33" s="422"/>
      <c r="AD33" s="422"/>
      <c r="AE33" s="422"/>
      <c r="AF33" s="422"/>
      <c r="AG33" s="422"/>
      <c r="AH33" s="413"/>
      <c r="AI33" s="413"/>
      <c r="AJ33" s="413"/>
      <c r="AK33" s="413"/>
      <c r="AL33" s="413"/>
      <c r="AM33" s="413"/>
      <c r="AN33" s="413"/>
      <c r="AO33" s="413"/>
      <c r="AP33" s="413"/>
      <c r="AQ33" s="413"/>
      <c r="AR33" s="413"/>
      <c r="AS33" s="413"/>
      <c r="AT33" s="413"/>
      <c r="AU33" s="413"/>
      <c r="AV33" s="413"/>
      <c r="AW33" s="413"/>
      <c r="AX33" s="413"/>
      <c r="AY33" s="413"/>
      <c r="AZ33" s="413"/>
      <c r="BA33" s="413"/>
      <c r="BB33" s="413"/>
      <c r="BC33" s="413"/>
      <c r="BD33" s="413"/>
      <c r="BE33" s="413"/>
      <c r="BF33" s="413"/>
      <c r="BG33" s="413"/>
      <c r="BH33" s="413"/>
      <c r="BI33" s="411">
        <v>31</v>
      </c>
      <c r="BJ33" s="410" t="str" cm="1">
        <f t="array" aca="1" ref="BJ33" ca="1" xml:space="preserve"> INDIRECT( ADDRESS( ROW($C$17), COLUMN($C$17) +$BI33) )</f>
        <v>ㆤ</v>
      </c>
      <c r="BK33" s="409" t="str" cm="1">
        <f t="array" aca="1" ref="BK33" ca="1" xml:space="preserve"> INDIRECT( ADDRESS( ROW($C$19), COLUMN($C$19) +$BI33) )</f>
        <v>e</v>
      </c>
      <c r="BL33" s="408" t="str" cm="1">
        <f t="array" aca="1" ref="BL33" ca="1" xml:space="preserve"> INDIRECT( ADDRESS( ROW($C$18), COLUMN($C$18) +$BI33) )</f>
        <v>e</v>
      </c>
      <c r="BM33" s="407" t="str" cm="1">
        <f t="array" aca="1" ref="BM33" ca="1" xml:space="preserve"> INDIRECT( ADDRESS( ROW($C$16), COLUMN($C$16) +$BI33) )</f>
        <v>,</v>
      </c>
      <c r="BP33" s="517" t="str">
        <f t="shared" ca="1" si="0"/>
        <v>",": { commit: "ㆤ" }</v>
      </c>
    </row>
    <row r="34" spans="2:68" s="412" customFormat="1" ht="31.5" customHeight="1">
      <c r="B34" s="422" t="s">
        <v>846</v>
      </c>
      <c r="C34" s="422"/>
      <c r="D34" s="422"/>
      <c r="E34" s="422"/>
      <c r="F34" s="422"/>
      <c r="G34" s="422"/>
      <c r="H34" s="422"/>
      <c r="I34" s="422"/>
      <c r="J34" s="422"/>
      <c r="K34" s="422"/>
      <c r="L34" s="422"/>
      <c r="M34" s="422"/>
      <c r="N34" s="422"/>
      <c r="O34" s="422"/>
      <c r="P34" s="422"/>
      <c r="Q34" s="422"/>
      <c r="R34" s="422"/>
      <c r="S34" s="423" t="s">
        <v>597</v>
      </c>
      <c r="T34" s="422"/>
      <c r="U34" s="422"/>
      <c r="V34" s="422"/>
      <c r="W34" s="422"/>
      <c r="X34" s="422"/>
      <c r="Y34" s="422"/>
      <c r="Z34" s="422"/>
      <c r="AA34" s="422"/>
      <c r="AB34" s="422"/>
      <c r="AC34" s="422"/>
      <c r="AD34" s="422"/>
      <c r="AE34" s="422"/>
      <c r="AF34" s="422"/>
      <c r="AG34" s="422"/>
      <c r="AH34" s="413"/>
      <c r="AI34" s="413"/>
      <c r="AJ34" s="413"/>
      <c r="AK34" s="413"/>
      <c r="AL34" s="413"/>
      <c r="AM34" s="413"/>
      <c r="AN34" s="413"/>
      <c r="AO34" s="413"/>
      <c r="AP34" s="413"/>
      <c r="AQ34" s="413"/>
      <c r="AR34" s="413"/>
      <c r="AS34" s="413"/>
      <c r="AT34" s="413"/>
      <c r="AU34" s="413"/>
      <c r="AV34" s="413"/>
      <c r="AW34" s="413"/>
      <c r="AX34" s="413"/>
      <c r="AY34" s="413"/>
      <c r="AZ34" s="413"/>
      <c r="BA34" s="413"/>
      <c r="BB34" s="413"/>
      <c r="BC34" s="413"/>
      <c r="BD34" s="413"/>
      <c r="BE34" s="413"/>
      <c r="BF34" s="413"/>
      <c r="BG34" s="413"/>
      <c r="BH34" s="413"/>
      <c r="BI34" s="411">
        <v>32</v>
      </c>
      <c r="BJ34" s="410" t="str" cm="1">
        <f t="array" aca="1" ref="BJ34" ca="1" xml:space="preserve"> INDIRECT( ADDRESS( ROW($C$17), COLUMN($C$17) +$BI34) )</f>
        <v>ㆥ</v>
      </c>
      <c r="BK34" s="409" t="str" cm="1">
        <f t="array" aca="1" ref="BK34" ca="1" xml:space="preserve"> INDIRECT( ADDRESS( ROW($C$19), COLUMN($C$19) +$BI34) )</f>
        <v>enn</v>
      </c>
      <c r="BL34" s="408" t="str" cm="1">
        <f t="array" aca="1" ref="BL34" ca="1" xml:space="preserve"> INDIRECT( ADDRESS( ROW($C$18), COLUMN($C$18) +$BI34) )</f>
        <v>E</v>
      </c>
      <c r="BM34" s="407" t="str" cm="1">
        <f t="array" aca="1" ref="BM34" ca="1" xml:space="preserve"> INDIRECT( ADDRESS( ROW($C$16), COLUMN($C$16) +$BI34) )</f>
        <v>&lt;</v>
      </c>
      <c r="BP34" s="517" t="str">
        <f t="shared" ca="1" si="0"/>
        <v>"&lt;": { commit: "ㆥ" }</v>
      </c>
    </row>
    <row r="35" spans="2:68" s="412" customFormat="1" ht="31.5" customHeight="1">
      <c r="B35" s="421" t="s">
        <v>845</v>
      </c>
      <c r="C35" s="420"/>
      <c r="D35" s="420">
        <f xml:space="preserve"> LEN(E35)</f>
        <v>52</v>
      </c>
      <c r="E35" s="419" t="str">
        <f xml:space="preserve"> _xlfn.CONCAT(D18:BC18)</f>
        <v>pPbmtTnlkKgGzcjsZCJShiIuUaAOQoeEyYxXMNr}{@][RW123570</v>
      </c>
      <c r="F35" s="419"/>
      <c r="G35" s="419"/>
      <c r="H35" s="419"/>
      <c r="I35" s="419"/>
      <c r="J35" s="419"/>
      <c r="K35" s="419"/>
      <c r="L35" s="419"/>
      <c r="M35" s="419"/>
      <c r="N35" s="419"/>
      <c r="O35" s="419"/>
      <c r="P35" s="419"/>
      <c r="Q35" s="419"/>
      <c r="R35" s="419"/>
      <c r="S35" s="419"/>
      <c r="T35" s="419"/>
      <c r="U35" s="419"/>
      <c r="V35" s="419"/>
      <c r="W35" s="419"/>
      <c r="X35" s="419"/>
      <c r="Y35" s="419"/>
      <c r="Z35" s="419"/>
      <c r="AA35" s="419"/>
      <c r="AB35" s="419"/>
      <c r="AC35" s="419"/>
      <c r="AD35" s="419"/>
      <c r="AE35" s="419"/>
      <c r="AF35" s="419"/>
      <c r="AG35" s="419"/>
      <c r="AH35" s="413"/>
      <c r="AI35" s="413"/>
      <c r="AJ35" s="406"/>
      <c r="AK35" s="406"/>
      <c r="AL35" s="406"/>
      <c r="AM35" s="406"/>
      <c r="AN35" s="406"/>
      <c r="AO35" s="406"/>
      <c r="AP35" s="406"/>
      <c r="AQ35" s="406"/>
      <c r="AR35" s="406"/>
      <c r="AS35" s="406"/>
      <c r="AT35" s="406"/>
      <c r="AU35" s="406"/>
      <c r="AV35" s="406"/>
      <c r="AW35" s="406"/>
      <c r="AX35" s="406"/>
      <c r="AY35" s="406"/>
      <c r="AZ35" s="406"/>
      <c r="BA35" s="406"/>
      <c r="BB35" s="406"/>
      <c r="BC35" s="406"/>
      <c r="BD35" s="413"/>
      <c r="BE35" s="413"/>
      <c r="BF35" s="413"/>
      <c r="BG35" s="413"/>
      <c r="BH35" s="413"/>
      <c r="BI35" s="411">
        <v>33</v>
      </c>
      <c r="BJ35" s="410" t="str" cm="1">
        <f t="array" aca="1" ref="BJ35" ca="1" xml:space="preserve"> INDIRECT( ADDRESS( ROW($C$17), COLUMN($C$17) +$BI35) )</f>
        <v>ㄞ</v>
      </c>
      <c r="BK35" s="409" t="str" cm="1">
        <f t="array" aca="1" ref="BK35" ca="1" xml:space="preserve"> INDIRECT( ADDRESS( ROW($C$19), COLUMN($C$19) +$BI35) )</f>
        <v>ai</v>
      </c>
      <c r="BL35" s="408" t="str" cm="1">
        <f t="array" aca="1" ref="BL35" ca="1" xml:space="preserve"> INDIRECT( ADDRESS( ROW($C$18), COLUMN($C$18) +$BI35) )</f>
        <v>y</v>
      </c>
      <c r="BM35" s="407" cm="1">
        <f t="array" aca="1" ref="BM35" ca="1" xml:space="preserve"> INDIRECT( ADDRESS( ROW($C$16), COLUMN($C$16) +$BI35) )</f>
        <v>9</v>
      </c>
      <c r="BP35" s="517" t="str">
        <f t="shared" ca="1" si="0"/>
        <v>"9": { commit: "ㄞ" }</v>
      </c>
    </row>
    <row r="36" spans="2:68" s="412" customFormat="1" ht="31.5" customHeight="1">
      <c r="B36" s="417" t="s">
        <v>104</v>
      </c>
      <c r="C36" s="418"/>
      <c r="D36" s="418">
        <f>LEN(E36)</f>
        <v>52</v>
      </c>
      <c r="E36" s="417" t="str">
        <f xml:space="preserve"> _xlfn.CONCAT(D17:BC17)</f>
        <v>ㄅㄆㆠㄇㄉㄊㄋㄌㄍㄎㆣㄫㄗㄘㆡㄙㄐㄑㆢㄒㄏㄧㆪㄨㆫㄚㆩㆦㆧㄜㆤㆥㄞㆮㄠㆯㆬㄣㆭㆱㆰㄢㆲㄤㄥㆨ ˋ˪ˊ˫˙</v>
      </c>
      <c r="F36" s="417"/>
      <c r="G36" s="417"/>
      <c r="H36" s="417"/>
      <c r="I36" s="417"/>
      <c r="J36" s="417"/>
      <c r="K36" s="417"/>
      <c r="L36" s="417"/>
      <c r="M36" s="417"/>
      <c r="N36" s="417"/>
      <c r="O36" s="417"/>
      <c r="P36" s="417"/>
      <c r="Q36" s="417"/>
      <c r="R36" s="417"/>
      <c r="S36" s="417"/>
      <c r="T36" s="417"/>
      <c r="U36" s="417"/>
      <c r="V36" s="417"/>
      <c r="W36" s="417"/>
      <c r="X36" s="417"/>
      <c r="Y36" s="417"/>
      <c r="Z36" s="417"/>
      <c r="AA36" s="417"/>
      <c r="AB36" s="417"/>
      <c r="AC36" s="417"/>
      <c r="AD36" s="417"/>
      <c r="AE36" s="417"/>
      <c r="AF36" s="417"/>
      <c r="AG36" s="417"/>
      <c r="AH36" s="413"/>
      <c r="AI36" s="413"/>
      <c r="AJ36" s="406"/>
      <c r="AK36" s="406"/>
      <c r="AL36" s="406"/>
      <c r="AM36" s="406"/>
      <c r="AN36" s="406"/>
      <c r="AO36" s="406"/>
      <c r="AP36" s="406"/>
      <c r="AQ36" s="406"/>
      <c r="AR36" s="406"/>
      <c r="AS36" s="406"/>
      <c r="AT36" s="406"/>
      <c r="AU36" s="406"/>
      <c r="AV36" s="406"/>
      <c r="AW36" s="406"/>
      <c r="AX36" s="406"/>
      <c r="AY36" s="406"/>
      <c r="AZ36" s="406"/>
      <c r="BA36" s="406"/>
      <c r="BB36" s="406"/>
      <c r="BC36" s="406"/>
      <c r="BD36" s="413"/>
      <c r="BE36" s="413"/>
      <c r="BF36" s="413"/>
      <c r="BG36" s="413"/>
      <c r="BH36" s="413"/>
      <c r="BI36" s="411">
        <v>34</v>
      </c>
      <c r="BJ36" s="410" t="str" cm="1">
        <f t="array" aca="1" ref="BJ36" ca="1" xml:space="preserve"> INDIRECT( ADDRESS( ROW($C$17), COLUMN($C$17) +$BI36) )</f>
        <v>ㆮ</v>
      </c>
      <c r="BK36" s="409" t="str" cm="1">
        <f t="array" aca="1" ref="BK36" ca="1" xml:space="preserve"> INDIRECT( ADDRESS( ROW($C$19), COLUMN($C$19) +$BI36) )</f>
        <v>ainn</v>
      </c>
      <c r="BL36" s="408" t="str" cm="1">
        <f t="array" aca="1" ref="BL36" ca="1" xml:space="preserve"> INDIRECT( ADDRESS( ROW($C$18), COLUMN($C$18) +$BI36) )</f>
        <v>Y</v>
      </c>
      <c r="BM36" s="407" t="str" cm="1">
        <f t="array" aca="1" ref="BM36" ca="1" xml:space="preserve"> INDIRECT( ADDRESS( ROW($C$16), COLUMN($C$16) +$BI36) )</f>
        <v>(</v>
      </c>
      <c r="BP36" s="517" t="str">
        <f t="shared" ca="1" si="0"/>
        <v>"(": { commit: "ㆮ" }</v>
      </c>
    </row>
    <row r="37" spans="2:68" s="412" customFormat="1" ht="31.5" customHeight="1">
      <c r="B37" s="416" t="str">
        <f xml:space="preserve"> "- xlit|" &amp; E35 &amp; "|" &amp; E36 &amp; "|"</f>
        <v>- xlit|pPbmtTnlkKgGzcjsZCJShiIuUaAOQoeEyYxXMNr}{@][RW123570|ㄅㄆㆠㄇㄉㄊㄋㄌㄍㄎㆣㄫㄗㄘㆡㄙㄐㄑㆢㄒㄏㄧㆪㄨㆫㄚㆩㆦㆧㄜㆤㆥㄞㆮㄠㆯㆬㄣㆭㆱㆰㄢㆲㄤㄥㆨ ˋ˪ˊ˫˙|</v>
      </c>
      <c r="C37" s="415"/>
      <c r="D37" s="415"/>
      <c r="E37" s="415"/>
      <c r="F37" s="415"/>
      <c r="G37" s="415"/>
      <c r="H37" s="415"/>
      <c r="I37" s="415"/>
      <c r="J37" s="415"/>
      <c r="K37" s="415"/>
      <c r="L37" s="415"/>
      <c r="M37" s="415"/>
      <c r="N37" s="415"/>
      <c r="O37" s="415"/>
      <c r="P37" s="415"/>
      <c r="Q37" s="415"/>
      <c r="R37" s="415"/>
      <c r="S37" s="415"/>
      <c r="T37" s="415"/>
      <c r="U37" s="415"/>
      <c r="V37" s="415"/>
      <c r="W37" s="415"/>
      <c r="X37" s="415"/>
      <c r="Y37" s="415"/>
      <c r="Z37" s="415"/>
      <c r="AA37" s="415"/>
      <c r="AB37" s="415"/>
      <c r="AC37" s="415"/>
      <c r="AD37" s="415"/>
      <c r="AE37" s="415"/>
      <c r="AF37" s="415"/>
      <c r="AG37" s="414"/>
      <c r="AH37" s="413"/>
      <c r="AI37" s="413"/>
      <c r="AJ37" s="406"/>
      <c r="AK37" s="406"/>
      <c r="AL37" s="406"/>
      <c r="AM37" s="406"/>
      <c r="AN37" s="406"/>
      <c r="AO37" s="406"/>
      <c r="AP37" s="406"/>
      <c r="AQ37" s="406"/>
      <c r="AR37" s="406"/>
      <c r="AS37" s="406"/>
      <c r="AT37" s="406"/>
      <c r="AU37" s="406"/>
      <c r="AV37" s="406"/>
      <c r="AW37" s="406"/>
      <c r="AX37" s="406"/>
      <c r="AY37" s="406"/>
      <c r="AZ37" s="406"/>
      <c r="BA37" s="406"/>
      <c r="BB37" s="406"/>
      <c r="BC37" s="406"/>
      <c r="BD37" s="413"/>
      <c r="BE37" s="413"/>
      <c r="BF37" s="413"/>
      <c r="BG37" s="413"/>
      <c r="BH37" s="413"/>
      <c r="BI37" s="411">
        <v>35</v>
      </c>
      <c r="BJ37" s="410" t="str" cm="1">
        <f t="array" aca="1" ref="BJ37" ca="1" xml:space="preserve"> INDIRECT( ADDRESS( ROW($C$17), COLUMN($C$17) +$BI37) )</f>
        <v>ㄠ</v>
      </c>
      <c r="BK37" s="409" t="str" cm="1">
        <f t="array" aca="1" ref="BK37" ca="1" xml:space="preserve"> INDIRECT( ADDRESS( ROW($C$19), COLUMN($C$19) +$BI37) )</f>
        <v>au</v>
      </c>
      <c r="BL37" s="408" t="str" cm="1">
        <f t="array" aca="1" ref="BL37" ca="1" xml:space="preserve"> INDIRECT( ADDRESS( ROW($C$18), COLUMN($C$18) +$BI37) )</f>
        <v>x</v>
      </c>
      <c r="BM37" s="407" t="str" cm="1">
        <f t="array" aca="1" ref="BM37" ca="1" xml:space="preserve"> INDIRECT( ADDRESS( ROW($C$16), COLUMN($C$16) +$BI37) )</f>
        <v>l</v>
      </c>
      <c r="BP37" s="517" t="str">
        <f t="shared" ca="1" si="0"/>
        <v>"l": { commit: "ㄠ" }</v>
      </c>
    </row>
    <row r="38" spans="2:68" s="412" customFormat="1" ht="31.5" customHeight="1">
      <c r="B38" s="406"/>
      <c r="C38" s="406"/>
      <c r="D38" s="406"/>
      <c r="E38" s="406"/>
      <c r="F38" s="406"/>
      <c r="G38" s="406"/>
      <c r="H38" s="406"/>
      <c r="I38" s="406"/>
      <c r="J38" s="406"/>
      <c r="K38" s="406"/>
      <c r="L38" s="406"/>
      <c r="M38" s="406"/>
      <c r="N38" s="406"/>
      <c r="O38" s="406"/>
      <c r="P38" s="406"/>
      <c r="Q38" s="406"/>
      <c r="R38" s="406"/>
      <c r="S38" s="406"/>
      <c r="T38" s="406"/>
      <c r="U38" s="406"/>
      <c r="V38" s="406"/>
      <c r="W38" s="406"/>
      <c r="X38" s="406"/>
      <c r="Y38" s="406"/>
      <c r="Z38" s="406"/>
      <c r="AA38" s="406"/>
      <c r="AB38" s="406"/>
      <c r="AC38" s="406"/>
      <c r="AD38" s="406"/>
      <c r="AE38" s="406"/>
      <c r="AF38" s="406"/>
      <c r="AG38" s="406"/>
      <c r="AH38" s="406"/>
      <c r="AI38" s="406"/>
      <c r="AJ38" s="406"/>
      <c r="AK38" s="406"/>
      <c r="AL38" s="406"/>
      <c r="AM38" s="406"/>
      <c r="AN38" s="406"/>
      <c r="AO38" s="406"/>
      <c r="AP38" s="406"/>
      <c r="AQ38" s="406"/>
      <c r="AR38" s="406"/>
      <c r="AS38" s="406"/>
      <c r="AT38" s="406"/>
      <c r="AU38" s="406"/>
      <c r="AV38" s="406"/>
      <c r="AW38" s="406"/>
      <c r="AX38" s="406"/>
      <c r="AY38" s="406"/>
      <c r="AZ38" s="406"/>
      <c r="BA38" s="406"/>
      <c r="BB38" s="406"/>
      <c r="BC38" s="406"/>
      <c r="BD38" s="413"/>
      <c r="BE38" s="413"/>
      <c r="BF38" s="413"/>
      <c r="BG38" s="413"/>
      <c r="BH38" s="413"/>
      <c r="BI38" s="411">
        <v>36</v>
      </c>
      <c r="BJ38" s="410" t="str" cm="1">
        <f t="array" aca="1" ref="BJ38" ca="1" xml:space="preserve"> INDIRECT( ADDRESS( ROW($C$17), COLUMN($C$17) +$BI38) )</f>
        <v>ㆯ</v>
      </c>
      <c r="BK38" s="409" t="str" cm="1">
        <f t="array" aca="1" ref="BK38" ca="1" xml:space="preserve"> INDIRECT( ADDRESS( ROW($C$19), COLUMN($C$19) +$BI38) )</f>
        <v>aunn</v>
      </c>
      <c r="BL38" s="408" t="str" cm="1">
        <f t="array" aca="1" ref="BL38" ca="1" xml:space="preserve"> INDIRECT( ADDRESS( ROW($C$18), COLUMN($C$18) +$BI38) )</f>
        <v>X</v>
      </c>
      <c r="BM38" s="407" t="str" cm="1">
        <f t="array" aca="1" ref="BM38" ca="1" xml:space="preserve"> INDIRECT( ADDRESS( ROW($C$16), COLUMN($C$16) +$BI38) )</f>
        <v>L</v>
      </c>
      <c r="BP38" s="517" t="str">
        <f t="shared" ca="1" si="0"/>
        <v>"L": { commit: "ㆯ" }</v>
      </c>
    </row>
    <row r="39" spans="2:68" ht="31.5" customHeight="1">
      <c r="B39" s="406"/>
      <c r="C39" s="406"/>
      <c r="D39" s="406"/>
      <c r="E39" s="406"/>
      <c r="F39" s="406"/>
      <c r="G39" s="406"/>
      <c r="H39" s="406"/>
      <c r="I39" s="406"/>
      <c r="J39" s="406"/>
      <c r="K39" s="406"/>
      <c r="L39" s="406"/>
      <c r="M39" s="406"/>
      <c r="N39" s="406"/>
      <c r="O39" s="406"/>
      <c r="P39" s="406"/>
      <c r="Q39" s="406"/>
      <c r="R39" s="406"/>
      <c r="S39" s="406"/>
      <c r="T39" s="406"/>
      <c r="U39" s="406"/>
      <c r="V39" s="406"/>
      <c r="W39" s="406"/>
      <c r="X39" s="406"/>
      <c r="Y39" s="406"/>
      <c r="Z39" s="406"/>
      <c r="AA39" s="406"/>
      <c r="AB39" s="406"/>
      <c r="AC39" s="406"/>
      <c r="AD39" s="406"/>
      <c r="AE39" s="406"/>
      <c r="AF39" s="406"/>
      <c r="AG39" s="406"/>
      <c r="AH39" s="406"/>
      <c r="AI39" s="406"/>
      <c r="AJ39" s="406"/>
      <c r="AK39" s="406"/>
      <c r="AL39" s="406"/>
      <c r="AM39" s="406"/>
      <c r="AN39" s="406"/>
      <c r="AO39" s="406"/>
      <c r="AP39" s="406"/>
      <c r="AQ39" s="406"/>
      <c r="AR39" s="406"/>
      <c r="AS39" s="406"/>
      <c r="AT39" s="406"/>
      <c r="AU39" s="406"/>
      <c r="AV39" s="406"/>
      <c r="AW39" s="406"/>
      <c r="AX39" s="406"/>
      <c r="AY39" s="406"/>
      <c r="AZ39" s="406"/>
      <c r="BA39" s="406"/>
      <c r="BB39" s="406"/>
      <c r="BC39" s="406"/>
      <c r="BD39" s="406"/>
      <c r="BE39" s="406"/>
      <c r="BF39" s="406"/>
      <c r="BG39" s="406"/>
      <c r="BH39" s="406"/>
      <c r="BI39" s="411">
        <v>37</v>
      </c>
      <c r="BJ39" s="410" t="str" cm="1">
        <f t="array" aca="1" ref="BJ39" ca="1" xml:space="preserve"> INDIRECT( ADDRESS( ROW($C$17), COLUMN($C$17) +$BI39) )</f>
        <v>ㆬ</v>
      </c>
      <c r="BK39" s="409" t="str" cm="1">
        <f t="array" aca="1" ref="BK39" ca="1" xml:space="preserve"> INDIRECT( ADDRESS( ROW($C$19), COLUMN($C$19) +$BI39) )</f>
        <v>-m</v>
      </c>
      <c r="BL39" s="408" t="str" cm="1">
        <f t="array" aca="1" ref="BL39" ca="1" xml:space="preserve"> INDIRECT( ADDRESS( ROW($C$18), COLUMN($C$18) +$BI39) )</f>
        <v>M</v>
      </c>
      <c r="BM39" s="407" t="str" cm="1">
        <f t="array" aca="1" ref="BM39" ca="1" xml:space="preserve"> INDIRECT( ADDRESS( ROW($C$16), COLUMN($C$16) +$BI39) )</f>
        <v>m</v>
      </c>
      <c r="BP39" s="517" t="str">
        <f t="shared" ca="1" si="0"/>
        <v>"m": { commit: "ㆬ" }</v>
      </c>
    </row>
    <row r="40" spans="2:68" ht="31.5" customHeight="1">
      <c r="B40" s="406"/>
      <c r="C40" s="406"/>
      <c r="D40" s="406"/>
      <c r="E40" s="406"/>
      <c r="F40" s="406"/>
      <c r="G40" s="406"/>
      <c r="H40" s="406"/>
      <c r="I40" s="406"/>
      <c r="J40" s="406"/>
      <c r="K40" s="406"/>
      <c r="L40" s="406"/>
      <c r="M40" s="406"/>
      <c r="N40" s="406"/>
      <c r="O40" s="406"/>
      <c r="P40" s="406"/>
      <c r="Q40" s="406"/>
      <c r="R40" s="406"/>
      <c r="S40" s="406"/>
      <c r="T40" s="406"/>
      <c r="U40" s="406"/>
      <c r="V40" s="406"/>
      <c r="W40" s="406"/>
      <c r="X40" s="406"/>
      <c r="Y40" s="406"/>
      <c r="Z40" s="406"/>
      <c r="AA40" s="406"/>
      <c r="AB40" s="406"/>
      <c r="AC40" s="406"/>
      <c r="AD40" s="406"/>
      <c r="AE40" s="406"/>
      <c r="AF40" s="406"/>
      <c r="AG40" s="406"/>
      <c r="AH40" s="406"/>
      <c r="AI40" s="406"/>
      <c r="AJ40" s="406"/>
      <c r="AK40" s="406"/>
      <c r="AL40" s="406"/>
      <c r="AM40" s="406"/>
      <c r="AN40" s="406"/>
      <c r="AO40" s="406"/>
      <c r="AP40" s="406"/>
      <c r="AQ40" s="406"/>
      <c r="AR40" s="406"/>
      <c r="AS40" s="406"/>
      <c r="AT40" s="406"/>
      <c r="AU40" s="406"/>
      <c r="AV40" s="406"/>
      <c r="AW40" s="406"/>
      <c r="AX40" s="406"/>
      <c r="AY40" s="406"/>
      <c r="AZ40" s="406"/>
      <c r="BA40" s="406"/>
      <c r="BB40" s="406"/>
      <c r="BC40" s="406"/>
      <c r="BD40" s="406"/>
      <c r="BE40" s="406"/>
      <c r="BF40" s="406"/>
      <c r="BG40" s="406"/>
      <c r="BH40" s="406"/>
      <c r="BI40" s="411">
        <v>38</v>
      </c>
      <c r="BJ40" s="410" t="str" cm="1">
        <f t="array" aca="1" ref="BJ40" ca="1" xml:space="preserve"> INDIRECT( ADDRESS( ROW($C$17), COLUMN($C$17) +$BI40) )</f>
        <v>ㄣ</v>
      </c>
      <c r="BK40" s="409" t="str" cm="1">
        <f t="array" aca="1" ref="BK40" ca="1" xml:space="preserve"> INDIRECT( ADDRESS( ROW($C$19), COLUMN($C$19) +$BI40) )</f>
        <v>-n</v>
      </c>
      <c r="BL40" s="408" t="str" cm="1">
        <f t="array" aca="1" ref="BL40" ca="1" xml:space="preserve"> INDIRECT( ADDRESS( ROW($C$18), COLUMN($C$18) +$BI40) )</f>
        <v>N</v>
      </c>
      <c r="BM40" s="407" t="str" cm="1">
        <f t="array" aca="1" ref="BM40" ca="1" xml:space="preserve"> INDIRECT( ADDRESS( ROW($C$16), COLUMN($C$16) +$BI40) )</f>
        <v>p</v>
      </c>
      <c r="BP40" s="517" t="str">
        <f t="shared" ca="1" si="0"/>
        <v>"p": { commit: "ㄣ" }</v>
      </c>
    </row>
    <row r="41" spans="2:68" ht="31.5" customHeight="1">
      <c r="B41" s="406"/>
      <c r="C41" s="406"/>
      <c r="D41" s="406"/>
      <c r="E41" s="406"/>
      <c r="F41" s="406"/>
      <c r="G41" s="406"/>
      <c r="H41" s="406"/>
      <c r="I41" s="406"/>
      <c r="J41" s="406"/>
      <c r="K41" s="406"/>
      <c r="L41" s="406"/>
      <c r="M41" s="406"/>
      <c r="N41" s="406"/>
      <c r="O41" s="406"/>
      <c r="P41" s="406"/>
      <c r="Q41" s="406"/>
      <c r="R41" s="406"/>
      <c r="S41" s="406"/>
      <c r="T41" s="406"/>
      <c r="U41" s="406"/>
      <c r="V41" s="406"/>
      <c r="W41" s="406"/>
      <c r="X41" s="406"/>
      <c r="Y41" s="406"/>
      <c r="Z41" s="406"/>
      <c r="AA41" s="406"/>
      <c r="AB41" s="406"/>
      <c r="AC41" s="406"/>
      <c r="AD41" s="406"/>
      <c r="AE41" s="406"/>
      <c r="AF41" s="406"/>
      <c r="AG41" s="406"/>
      <c r="AH41" s="406"/>
      <c r="AI41" s="406"/>
      <c r="AJ41" s="406"/>
      <c r="AK41" s="406"/>
      <c r="AL41" s="406"/>
      <c r="AM41" s="406"/>
      <c r="AN41" s="406"/>
      <c r="AO41" s="406"/>
      <c r="AP41" s="406"/>
      <c r="AQ41" s="406"/>
      <c r="AR41" s="406"/>
      <c r="AS41" s="406"/>
      <c r="AT41" s="406"/>
      <c r="AU41" s="406"/>
      <c r="AV41" s="406"/>
      <c r="AW41" s="406"/>
      <c r="AX41" s="406"/>
      <c r="AY41" s="406"/>
      <c r="AZ41" s="406"/>
      <c r="BA41" s="406"/>
      <c r="BB41" s="406"/>
      <c r="BC41" s="406"/>
      <c r="BD41" s="406"/>
      <c r="BE41" s="406"/>
      <c r="BF41" s="406"/>
      <c r="BG41" s="406"/>
      <c r="BH41" s="406"/>
      <c r="BI41" s="411">
        <v>39</v>
      </c>
      <c r="BJ41" s="410" t="str" cm="1">
        <f t="array" aca="1" ref="BJ41" ca="1" xml:space="preserve"> INDIRECT( ADDRESS( ROW($C$17), COLUMN($C$17) +$BI41) )</f>
        <v>ㆭ</v>
      </c>
      <c r="BK41" s="409" t="str" cm="1">
        <f t="array" aca="1" ref="BK41" ca="1" xml:space="preserve"> INDIRECT( ADDRESS( ROW($C$19), COLUMN($C$19) +$BI41) )</f>
        <v>-ng</v>
      </c>
      <c r="BL41" s="408" t="str" cm="1">
        <f t="array" aca="1" ref="BL41" ca="1" xml:space="preserve"> INDIRECT( ADDRESS( ROW($C$18), COLUMN($C$18) +$BI41) )</f>
        <v>r</v>
      </c>
      <c r="BM41" s="407" t="str" cm="1">
        <f t="array" aca="1" ref="BM41" ca="1" xml:space="preserve"> INDIRECT( ADDRESS( ROW($C$16), COLUMN($C$16) +$BI41) )</f>
        <v>/</v>
      </c>
      <c r="BP41" s="517" t="str">
        <f t="shared" ca="1" si="0"/>
        <v>"/": { commit: "ㆭ" }</v>
      </c>
    </row>
    <row r="42" spans="2:68" ht="31.5" customHeight="1">
      <c r="B42" s="406"/>
      <c r="C42" s="406"/>
      <c r="D42" s="406"/>
      <c r="E42" s="406"/>
      <c r="F42" s="406"/>
      <c r="G42" s="406"/>
      <c r="H42" s="406"/>
      <c r="I42" s="406"/>
      <c r="J42" s="406"/>
      <c r="K42" s="406"/>
      <c r="L42" s="406"/>
      <c r="M42" s="406"/>
      <c r="N42" s="406"/>
      <c r="O42" s="406"/>
      <c r="P42" s="406"/>
      <c r="Q42" s="406"/>
      <c r="R42" s="406"/>
      <c r="S42" s="406"/>
      <c r="T42" s="406"/>
      <c r="U42" s="406"/>
      <c r="V42" s="406"/>
      <c r="W42" s="406"/>
      <c r="X42" s="406"/>
      <c r="Y42" s="406"/>
      <c r="Z42" s="406"/>
      <c r="AA42" s="406"/>
      <c r="AB42" s="406"/>
      <c r="AC42" s="406"/>
      <c r="AD42" s="406"/>
      <c r="AE42" s="406"/>
      <c r="AF42" s="406"/>
      <c r="AG42" s="406"/>
      <c r="AH42" s="406"/>
      <c r="AI42" s="406"/>
      <c r="AJ42" s="406"/>
      <c r="AK42" s="406"/>
      <c r="AL42" s="406"/>
      <c r="AM42" s="406"/>
      <c r="AN42" s="406"/>
      <c r="AO42" s="406"/>
      <c r="AP42" s="406"/>
      <c r="AQ42" s="406"/>
      <c r="AR42" s="406"/>
      <c r="AS42" s="406"/>
      <c r="AT42" s="406"/>
      <c r="AU42" s="406"/>
      <c r="AV42" s="406"/>
      <c r="AW42" s="406"/>
      <c r="AX42" s="406"/>
      <c r="AY42" s="406"/>
      <c r="AZ42" s="406"/>
      <c r="BA42" s="406"/>
      <c r="BB42" s="406"/>
      <c r="BC42" s="406"/>
      <c r="BD42" s="406"/>
      <c r="BE42" s="406"/>
      <c r="BF42" s="406"/>
      <c r="BG42" s="406"/>
      <c r="BH42" s="406"/>
      <c r="BI42" s="411">
        <v>40</v>
      </c>
      <c r="BJ42" s="410" t="str" cm="1">
        <f t="array" aca="1" ref="BJ42" ca="1" xml:space="preserve"> INDIRECT( ADDRESS( ROW($C$17), COLUMN($C$17) +$BI42) )</f>
        <v>ㆱ</v>
      </c>
      <c r="BK42" s="409" t="str" cm="1">
        <f t="array" aca="1" ref="BK42" ca="1" xml:space="preserve"> INDIRECT( ADDRESS( ROW($C$19), COLUMN($C$19) +$BI42) )</f>
        <v>om</v>
      </c>
      <c r="BL42" s="408" t="str" cm="1">
        <f t="array" aca="1" ref="BL42" ca="1" xml:space="preserve"> INDIRECT( ADDRESS( ROW($C$18), COLUMN($C$18) +$BI42) )</f>
        <v>}</v>
      </c>
      <c r="BM42" s="407" t="str" cm="1">
        <f t="array" aca="1" ref="BM42" ca="1" xml:space="preserve"> INDIRECT( ADDRESS( ROW($C$16), COLUMN($C$16) +$BI42) )</f>
        <v>B</v>
      </c>
      <c r="BP42" s="517" t="str">
        <f t="shared" ca="1" si="0"/>
        <v>"B": { commit: "ㆱ" }</v>
      </c>
    </row>
    <row r="43" spans="2:68" ht="31.5" customHeight="1">
      <c r="B43" s="406"/>
      <c r="C43" s="406"/>
      <c r="D43" s="406"/>
      <c r="E43" s="406"/>
      <c r="F43" s="406"/>
      <c r="G43" s="406"/>
      <c r="H43" s="406"/>
      <c r="I43" s="406"/>
      <c r="J43" s="406"/>
      <c r="K43" s="406"/>
      <c r="L43" s="406"/>
      <c r="M43" s="406"/>
      <c r="N43" s="406"/>
      <c r="O43" s="406"/>
      <c r="P43" s="406"/>
      <c r="Q43" s="406"/>
      <c r="R43" s="406"/>
      <c r="S43" s="406"/>
      <c r="T43" s="406"/>
      <c r="U43" s="406"/>
      <c r="V43" s="406"/>
      <c r="W43" s="406"/>
      <c r="X43" s="406"/>
      <c r="Y43" s="406"/>
      <c r="Z43" s="406"/>
      <c r="AA43" s="406"/>
      <c r="AB43" s="406"/>
      <c r="AC43" s="406"/>
      <c r="AD43" s="406"/>
      <c r="AE43" s="406"/>
      <c r="AF43" s="406"/>
      <c r="AG43" s="406"/>
      <c r="AH43" s="406"/>
      <c r="AI43" s="406"/>
      <c r="AJ43" s="406"/>
      <c r="AK43" s="406"/>
      <c r="AL43" s="406"/>
      <c r="AM43" s="406"/>
      <c r="AN43" s="406"/>
      <c r="AO43" s="406"/>
      <c r="AP43" s="406"/>
      <c r="AQ43" s="406"/>
      <c r="AR43" s="406"/>
      <c r="AS43" s="406"/>
      <c r="AT43" s="406"/>
      <c r="AU43" s="406"/>
      <c r="AV43" s="406"/>
      <c r="AW43" s="406"/>
      <c r="AX43" s="406"/>
      <c r="AY43" s="406"/>
      <c r="AZ43" s="406"/>
      <c r="BA43" s="406"/>
      <c r="BB43" s="406"/>
      <c r="BC43" s="406"/>
      <c r="BD43" s="406"/>
      <c r="BE43" s="406"/>
      <c r="BF43" s="406"/>
      <c r="BG43" s="406"/>
      <c r="BH43" s="406"/>
      <c r="BI43" s="411">
        <v>41</v>
      </c>
      <c r="BJ43" s="410" t="str" cm="1">
        <f t="array" aca="1" ref="BJ43" ca="1" xml:space="preserve"> INDIRECT( ADDRESS( ROW($C$17), COLUMN($C$17) +$BI43) )</f>
        <v>ㆰ</v>
      </c>
      <c r="BK43" s="409" t="str" cm="1">
        <f t="array" aca="1" ref="BK43" ca="1" xml:space="preserve"> INDIRECT( ADDRESS( ROW($C$19), COLUMN($C$19) +$BI43) )</f>
        <v>am</v>
      </c>
      <c r="BL43" s="408" t="str" cm="1">
        <f t="array" aca="1" ref="BL43" ca="1" xml:space="preserve"> INDIRECT( ADDRESS( ROW($C$18), COLUMN($C$18) +$BI43) )</f>
        <v>{</v>
      </c>
      <c r="BM43" s="407" t="str" cm="1">
        <f t="array" aca="1" ref="BM43" ca="1" xml:space="preserve"> INDIRECT( ADDRESS( ROW($C$16), COLUMN($C$16) +$BI43) )</f>
        <v>b</v>
      </c>
      <c r="BP43" s="517" t="str">
        <f t="shared" ca="1" si="0"/>
        <v>"b": { commit: "ㆰ" }</v>
      </c>
    </row>
    <row r="44" spans="2:68" ht="31.5" customHeight="1">
      <c r="B44" s="406"/>
      <c r="C44" s="406"/>
      <c r="D44" s="406"/>
      <c r="E44" s="406"/>
      <c r="F44" s="406"/>
      <c r="G44" s="406"/>
      <c r="H44" s="406"/>
      <c r="I44" s="406"/>
      <c r="J44" s="406"/>
      <c r="K44" s="406"/>
      <c r="L44" s="406"/>
      <c r="M44" s="406"/>
      <c r="N44" s="406"/>
      <c r="O44" s="406"/>
      <c r="P44" s="406"/>
      <c r="Q44" s="406"/>
      <c r="R44" s="406"/>
      <c r="S44" s="406"/>
      <c r="T44" s="406"/>
      <c r="U44" s="406"/>
      <c r="V44" s="406"/>
      <c r="W44" s="406"/>
      <c r="X44" s="406"/>
      <c r="Y44" s="406"/>
      <c r="Z44" s="406"/>
      <c r="AA44" s="406"/>
      <c r="AB44" s="406"/>
      <c r="AC44" s="406"/>
      <c r="AD44" s="406"/>
      <c r="AE44" s="406"/>
      <c r="AF44" s="406"/>
      <c r="AG44" s="406"/>
      <c r="AH44" s="406"/>
      <c r="AI44" s="406"/>
      <c r="AJ44" s="406"/>
      <c r="AK44" s="406"/>
      <c r="AL44" s="406"/>
      <c r="AM44" s="406"/>
      <c r="AN44" s="406"/>
      <c r="AO44" s="406"/>
      <c r="AP44" s="406"/>
      <c r="AQ44" s="406"/>
      <c r="AR44" s="406"/>
      <c r="AS44" s="406"/>
      <c r="AT44" s="406"/>
      <c r="AU44" s="406"/>
      <c r="AV44" s="406"/>
      <c r="AW44" s="406"/>
      <c r="AX44" s="406"/>
      <c r="AY44" s="406"/>
      <c r="AZ44" s="406"/>
      <c r="BA44" s="406"/>
      <c r="BB44" s="406"/>
      <c r="BC44" s="406"/>
      <c r="BD44" s="406"/>
      <c r="BE44" s="406"/>
      <c r="BF44" s="406"/>
      <c r="BG44" s="406"/>
      <c r="BH44" s="406"/>
      <c r="BI44" s="411">
        <v>42</v>
      </c>
      <c r="BJ44" s="410" t="str" cm="1">
        <f t="array" aca="1" ref="BJ44" ca="1" xml:space="preserve"> INDIRECT( ADDRESS( ROW($C$17), COLUMN($C$17) +$BI44) )</f>
        <v>ㄢ</v>
      </c>
      <c r="BK44" s="409" t="str" cm="1">
        <f t="array" aca="1" ref="BK44" ca="1" xml:space="preserve"> INDIRECT( ADDRESS( ROW($C$19), COLUMN($C$19) +$BI44) )</f>
        <v>an</v>
      </c>
      <c r="BL44" s="408" t="str" cm="1">
        <f t="array" aca="1" ref="BL44" ca="1" xml:space="preserve"> INDIRECT( ADDRESS( ROW($C$18), COLUMN($C$18) +$BI44) )</f>
        <v>@</v>
      </c>
      <c r="BM44" s="407" t="str" cm="1">
        <f t="array" aca="1" ref="BM44" ca="1" xml:space="preserve"> INDIRECT( ADDRESS( ROW($C$16), COLUMN($C$16) +$BI44) )</f>
        <v>0</v>
      </c>
      <c r="BP44" s="517" t="str">
        <f t="shared" ca="1" si="0"/>
        <v>"0": { commit: "ㄢ" }</v>
      </c>
    </row>
    <row r="45" spans="2:68" ht="31.5" customHeight="1">
      <c r="B45" s="406"/>
      <c r="C45" s="406"/>
      <c r="D45" s="406"/>
      <c r="E45" s="406"/>
      <c r="F45" s="406"/>
      <c r="G45" s="406"/>
      <c r="H45" s="406"/>
      <c r="I45" s="406"/>
      <c r="J45" s="406"/>
      <c r="K45" s="406"/>
      <c r="L45" s="406"/>
      <c r="M45" s="406"/>
      <c r="N45" s="406"/>
      <c r="O45" s="406"/>
      <c r="P45" s="406"/>
      <c r="Q45" s="406"/>
      <c r="R45" s="406"/>
      <c r="S45" s="406"/>
      <c r="T45" s="406"/>
      <c r="U45" s="406"/>
      <c r="V45" s="406"/>
      <c r="W45" s="406"/>
      <c r="X45" s="406"/>
      <c r="Y45" s="406"/>
      <c r="Z45" s="406"/>
      <c r="AA45" s="406"/>
      <c r="AB45" s="406"/>
      <c r="AC45" s="406"/>
      <c r="AD45" s="406"/>
      <c r="AE45" s="406"/>
      <c r="AF45" s="406"/>
      <c r="AG45" s="406"/>
      <c r="AH45" s="406"/>
      <c r="AI45" s="406"/>
      <c r="AJ45" s="406"/>
      <c r="AK45" s="406"/>
      <c r="AL45" s="406"/>
      <c r="AM45" s="406"/>
      <c r="AN45" s="406"/>
      <c r="AO45" s="406"/>
      <c r="AP45" s="406"/>
      <c r="AQ45" s="406"/>
      <c r="AR45" s="406"/>
      <c r="AS45" s="406"/>
      <c r="AT45" s="406"/>
      <c r="AU45" s="406"/>
      <c r="AV45" s="406"/>
      <c r="AW45" s="406"/>
      <c r="AX45" s="406"/>
      <c r="AY45" s="406"/>
      <c r="AZ45" s="406"/>
      <c r="BA45" s="406"/>
      <c r="BB45" s="406"/>
      <c r="BC45" s="406"/>
      <c r="BD45" s="406"/>
      <c r="BE45" s="406"/>
      <c r="BF45" s="406"/>
      <c r="BG45" s="406"/>
      <c r="BH45" s="406"/>
      <c r="BI45" s="411">
        <v>43</v>
      </c>
      <c r="BJ45" s="410" t="str" cm="1">
        <f t="array" aca="1" ref="BJ45" ca="1" xml:space="preserve"> INDIRECT( ADDRESS( ROW($C$17), COLUMN($C$17) +$BI45) )</f>
        <v>ㆲ</v>
      </c>
      <c r="BK45" s="409" t="str" cm="1">
        <f t="array" aca="1" ref="BK45" ca="1" xml:space="preserve"> INDIRECT( ADDRESS( ROW($C$19), COLUMN($C$19) +$BI45) )</f>
        <v>ong</v>
      </c>
      <c r="BL45" s="408" t="str" cm="1">
        <f t="array" aca="1" ref="BL45" ca="1" xml:space="preserve"> INDIRECT( ADDRESS( ROW($C$18), COLUMN($C$18) +$BI45) )</f>
        <v>]</v>
      </c>
      <c r="BM45" s="407" t="str" cm="1">
        <f t="array" aca="1" ref="BM45" ca="1" xml:space="preserve"> INDIRECT( ADDRESS( ROW($C$16), COLUMN($C$16) +$BI45) )</f>
        <v>.</v>
      </c>
      <c r="BP45" s="517" t="str">
        <f t="shared" ca="1" si="0"/>
        <v>".": { commit: "ㆲ" }</v>
      </c>
    </row>
    <row r="46" spans="2:68" ht="31.5" customHeight="1">
      <c r="B46" s="406"/>
      <c r="C46" s="406"/>
      <c r="D46" s="406"/>
      <c r="E46" s="406"/>
      <c r="F46" s="406"/>
      <c r="G46" s="406"/>
      <c r="H46" s="406"/>
      <c r="I46" s="406"/>
      <c r="J46" s="406"/>
      <c r="K46" s="406"/>
      <c r="L46" s="406"/>
      <c r="M46" s="406"/>
      <c r="N46" s="406"/>
      <c r="O46" s="406"/>
      <c r="P46" s="406"/>
      <c r="Q46" s="406"/>
      <c r="R46" s="406"/>
      <c r="S46" s="406"/>
      <c r="T46" s="406"/>
      <c r="U46" s="406"/>
      <c r="V46" s="406"/>
      <c r="W46" s="406"/>
      <c r="X46" s="406"/>
      <c r="Y46" s="406"/>
      <c r="Z46" s="406"/>
      <c r="AA46" s="406"/>
      <c r="AB46" s="406"/>
      <c r="AC46" s="406"/>
      <c r="AD46" s="406"/>
      <c r="AE46" s="406"/>
      <c r="AF46" s="406"/>
      <c r="AG46" s="406"/>
      <c r="AH46" s="406"/>
      <c r="AI46" s="406"/>
      <c r="AJ46" s="406"/>
      <c r="AK46" s="406"/>
      <c r="AL46" s="406"/>
      <c r="AM46" s="406"/>
      <c r="AN46" s="406"/>
      <c r="AO46" s="406"/>
      <c r="AP46" s="406"/>
      <c r="AQ46" s="406"/>
      <c r="AR46" s="406"/>
      <c r="AS46" s="406"/>
      <c r="AT46" s="406"/>
      <c r="AU46" s="406"/>
      <c r="AV46" s="406"/>
      <c r="AW46" s="406"/>
      <c r="AX46" s="406"/>
      <c r="AY46" s="406"/>
      <c r="AZ46" s="406"/>
      <c r="BA46" s="406"/>
      <c r="BB46" s="406"/>
      <c r="BC46" s="406"/>
      <c r="BD46" s="406"/>
      <c r="BE46" s="406"/>
      <c r="BF46" s="406"/>
      <c r="BG46" s="406"/>
      <c r="BH46" s="406"/>
      <c r="BI46" s="411">
        <v>44</v>
      </c>
      <c r="BJ46" s="410" t="str" cm="1">
        <f t="array" aca="1" ref="BJ46" ca="1" xml:space="preserve"> INDIRECT( ADDRESS( ROW($C$17), COLUMN($C$17) +$BI46) )</f>
        <v>ㄤ</v>
      </c>
      <c r="BK46" s="409" t="str" cm="1">
        <f t="array" aca="1" ref="BK46" ca="1" xml:space="preserve"> INDIRECT( ADDRESS( ROW($C$19), COLUMN($C$19) +$BI46) )</f>
        <v>ang</v>
      </c>
      <c r="BL46" s="408" t="str" cm="1">
        <f t="array" aca="1" ref="BL46" ca="1" xml:space="preserve"> INDIRECT( ADDRESS( ROW($C$18), COLUMN($C$18) +$BI46) )</f>
        <v>[</v>
      </c>
      <c r="BM46" s="407" t="str" cm="1">
        <f t="array" aca="1" ref="BM46" ca="1" xml:space="preserve"> INDIRECT( ADDRESS( ROW($C$16), COLUMN($C$16) +$BI46) )</f>
        <v>;</v>
      </c>
      <c r="BP46" s="517" t="str">
        <f t="shared" ca="1" si="0"/>
        <v>";": { commit: "ㄤ" }</v>
      </c>
    </row>
    <row r="47" spans="2:68" ht="31.5" customHeight="1">
      <c r="B47" s="406"/>
      <c r="C47" s="406"/>
      <c r="D47" s="406"/>
      <c r="E47" s="406"/>
      <c r="F47" s="406"/>
      <c r="G47" s="406"/>
      <c r="H47" s="406"/>
      <c r="I47" s="406"/>
      <c r="J47" s="406"/>
      <c r="K47" s="406"/>
      <c r="L47" s="406"/>
      <c r="M47" s="406"/>
      <c r="N47" s="406"/>
      <c r="O47" s="406"/>
      <c r="P47" s="406"/>
      <c r="Q47" s="406"/>
      <c r="R47" s="406"/>
      <c r="S47" s="406"/>
      <c r="T47" s="406"/>
      <c r="U47" s="406"/>
      <c r="V47" s="406"/>
      <c r="W47" s="406"/>
      <c r="X47" s="406"/>
      <c r="Y47" s="406"/>
      <c r="Z47" s="406"/>
      <c r="AA47" s="406"/>
      <c r="AB47" s="406"/>
      <c r="AC47" s="406"/>
      <c r="AD47" s="406"/>
      <c r="AE47" s="406"/>
      <c r="AF47" s="406"/>
      <c r="AG47" s="406"/>
      <c r="AH47" s="406"/>
      <c r="AI47" s="406"/>
      <c r="AJ47" s="406"/>
      <c r="AK47" s="406"/>
      <c r="AL47" s="406"/>
      <c r="AM47" s="406"/>
      <c r="AN47" s="406"/>
      <c r="AO47" s="406"/>
      <c r="AP47" s="406"/>
      <c r="AQ47" s="406"/>
      <c r="AR47" s="406"/>
      <c r="AS47" s="406"/>
      <c r="AT47" s="406"/>
      <c r="AU47" s="406"/>
      <c r="AV47" s="406"/>
      <c r="AW47" s="406"/>
      <c r="AX47" s="406"/>
      <c r="AY47" s="406"/>
      <c r="AZ47" s="406"/>
      <c r="BA47" s="406"/>
      <c r="BB47" s="406"/>
      <c r="BC47" s="406"/>
      <c r="BD47" s="406"/>
      <c r="BE47" s="406"/>
      <c r="BF47" s="406"/>
      <c r="BG47" s="406"/>
      <c r="BH47" s="406"/>
      <c r="BI47" s="411">
        <v>45</v>
      </c>
      <c r="BJ47" s="410" t="str" cm="1">
        <f t="array" aca="1" ref="BJ47" ca="1" xml:space="preserve"> INDIRECT( ADDRESS( ROW($C$17), COLUMN($C$17) +$BI47) )</f>
        <v>ㄥ</v>
      </c>
      <c r="BK47" s="409" t="str" cm="1">
        <f t="array" aca="1" ref="BK47" ca="1" xml:space="preserve"> INDIRECT( ADDRESS( ROW($C$19), COLUMN($C$19) +$BI47) )</f>
        <v>-ing</v>
      </c>
      <c r="BL47" s="408" t="str" cm="1">
        <f t="array" aca="1" ref="BL47" ca="1" xml:space="preserve"> INDIRECT( ADDRESS( ROW($C$18), COLUMN($C$18) +$BI47) )</f>
        <v>R</v>
      </c>
      <c r="BM47" s="407" t="str" cm="1">
        <f t="array" aca="1" ref="BM47" ca="1" xml:space="preserve"> INDIRECT( ADDRESS( ROW($C$16), COLUMN($C$16) +$BI47) )</f>
        <v>?</v>
      </c>
      <c r="BP47" s="517" t="str">
        <f t="shared" ca="1" si="0"/>
        <v>"?": { commit: "ㄥ" }</v>
      </c>
    </row>
    <row r="48" spans="2:68" ht="31.5" customHeight="1">
      <c r="B48" s="406"/>
      <c r="C48" s="406"/>
      <c r="D48" s="406"/>
      <c r="E48" s="406"/>
      <c r="F48" s="406"/>
      <c r="G48" s="406"/>
      <c r="H48" s="406"/>
      <c r="I48" s="406"/>
      <c r="J48" s="406"/>
      <c r="K48" s="406"/>
      <c r="L48" s="406"/>
      <c r="M48" s="406"/>
      <c r="N48" s="406"/>
      <c r="O48" s="406"/>
      <c r="P48" s="406"/>
      <c r="Q48" s="406"/>
      <c r="R48" s="406"/>
      <c r="S48" s="406"/>
      <c r="T48" s="406"/>
      <c r="U48" s="406"/>
      <c r="V48" s="406"/>
      <c r="W48" s="406"/>
      <c r="X48" s="406"/>
      <c r="Y48" s="406"/>
      <c r="Z48" s="406"/>
      <c r="AA48" s="406"/>
      <c r="AB48" s="406"/>
      <c r="AC48" s="406"/>
      <c r="AD48" s="406"/>
      <c r="AE48" s="406"/>
      <c r="AF48" s="406"/>
      <c r="AG48" s="406"/>
      <c r="AH48" s="406"/>
      <c r="AI48" s="406"/>
      <c r="AJ48" s="406"/>
      <c r="AK48" s="406"/>
      <c r="AL48" s="406"/>
      <c r="AM48" s="406"/>
      <c r="AN48" s="406"/>
      <c r="AO48" s="406"/>
      <c r="AP48" s="406"/>
      <c r="AQ48" s="406"/>
      <c r="AR48" s="406"/>
      <c r="AS48" s="406"/>
      <c r="AT48" s="406"/>
      <c r="AU48" s="406"/>
      <c r="AV48" s="406"/>
      <c r="AW48" s="406"/>
      <c r="AX48" s="406"/>
      <c r="AY48" s="406"/>
      <c r="AZ48" s="406"/>
      <c r="BA48" s="406"/>
      <c r="BB48" s="406"/>
      <c r="BC48" s="406"/>
      <c r="BD48" s="406"/>
      <c r="BE48" s="406"/>
      <c r="BF48" s="406"/>
      <c r="BG48" s="406"/>
      <c r="BH48" s="406"/>
      <c r="BI48" s="411">
        <v>46</v>
      </c>
      <c r="BJ48" s="410" t="str" cm="1">
        <f t="array" aca="1" ref="BJ48" ca="1" xml:space="preserve"> INDIRECT( ADDRESS( ROW($C$17), COLUMN($C$17) +$BI48) )</f>
        <v>ㆨ</v>
      </c>
      <c r="BK48" s="409" t="str" cm="1">
        <f t="array" aca="1" ref="BK48" ca="1" xml:space="preserve"> INDIRECT( ADDRESS( ROW($C$19), COLUMN($C$19) +$BI48) )</f>
        <v>ir</v>
      </c>
      <c r="BL48" s="408" t="str" cm="1">
        <f t="array" aca="1" ref="BL48" ca="1" xml:space="preserve"> INDIRECT( ADDRESS( ROW($C$18), COLUMN($C$18) +$BI48) )</f>
        <v>W</v>
      </c>
      <c r="BM48" s="407" t="str" cm="1">
        <f t="array" aca="1" ref="BM48" ca="1" xml:space="preserve"> INDIRECT( ADDRESS( ROW($C$16), COLUMN($C$16) +$BI48) )</f>
        <v>u</v>
      </c>
      <c r="BP48" s="517" t="str">
        <f t="shared" ca="1" si="0"/>
        <v>"u": { commit: "ㆨ" }</v>
      </c>
    </row>
    <row r="49" spans="2:68" ht="31.5" customHeight="1">
      <c r="B49" s="406"/>
      <c r="C49" s="406"/>
      <c r="D49" s="406"/>
      <c r="E49" s="406"/>
      <c r="F49" s="406"/>
      <c r="G49" s="406"/>
      <c r="H49" s="406"/>
      <c r="I49" s="406"/>
      <c r="J49" s="406"/>
      <c r="K49" s="406"/>
      <c r="L49" s="406"/>
      <c r="M49" s="406"/>
      <c r="N49" s="406"/>
      <c r="O49" s="406"/>
      <c r="P49" s="406"/>
      <c r="Q49" s="406"/>
      <c r="R49" s="406"/>
      <c r="S49" s="406"/>
      <c r="T49" s="406"/>
      <c r="U49" s="406"/>
      <c r="V49" s="406"/>
      <c r="W49" s="406"/>
      <c r="X49" s="406"/>
      <c r="Y49" s="406"/>
      <c r="Z49" s="406"/>
      <c r="AA49" s="406"/>
      <c r="AB49" s="406"/>
      <c r="AC49" s="406"/>
      <c r="AD49" s="406"/>
      <c r="AE49" s="406"/>
      <c r="AF49" s="406"/>
      <c r="AG49" s="406"/>
      <c r="AH49" s="406"/>
      <c r="AI49" s="406"/>
      <c r="AJ49" s="406"/>
      <c r="AK49" s="406"/>
      <c r="AL49" s="406"/>
      <c r="AM49" s="406"/>
      <c r="AN49" s="406"/>
      <c r="AO49" s="406"/>
      <c r="AP49" s="406"/>
      <c r="AQ49" s="406"/>
      <c r="AR49" s="406"/>
      <c r="AS49" s="406"/>
      <c r="AT49" s="406"/>
      <c r="AU49" s="406"/>
      <c r="AV49" s="406"/>
      <c r="AW49" s="406"/>
      <c r="AX49" s="406"/>
      <c r="AY49" s="406"/>
      <c r="AZ49" s="406"/>
      <c r="BA49" s="406"/>
      <c r="BB49" s="406"/>
      <c r="BC49" s="406"/>
      <c r="BD49" s="406"/>
      <c r="BE49" s="406"/>
      <c r="BF49" s="406"/>
      <c r="BG49" s="406"/>
      <c r="BH49" s="406"/>
      <c r="BI49" s="411">
        <v>47</v>
      </c>
      <c r="BJ49" s="410" t="str" cm="1">
        <f t="array" aca="1" ref="BJ49" ca="1" xml:space="preserve"> INDIRECT( ADDRESS( ROW($C$17), COLUMN($C$17) +$BI49) )</f>
        <v xml:space="preserve"> </v>
      </c>
      <c r="BK49" s="409" cm="1">
        <f t="array" aca="1" ref="BK49" ca="1" xml:space="preserve"> INDIRECT( ADDRESS( ROW($C$19), COLUMN($C$19) +$BI49) )</f>
        <v>1</v>
      </c>
      <c r="BL49" s="408" cm="1">
        <f t="array" aca="1" ref="BL49" ca="1" xml:space="preserve"> INDIRECT( ADDRESS( ROW($C$18), COLUMN($C$18) +$BI49) )</f>
        <v>1</v>
      </c>
      <c r="BM49" s="407" t="str" cm="1">
        <f t="array" aca="1" ref="BM49" ca="1" xml:space="preserve"> INDIRECT( ADDRESS( ROW($C$16), COLUMN($C$16) +$BI49) )</f>
        <v xml:space="preserve"> </v>
      </c>
      <c r="BP49" s="517" t="str">
        <f t="shared" ca="1" si="0"/>
        <v>" ": { commit: " " }</v>
      </c>
    </row>
    <row r="50" spans="2:68" ht="31.5" customHeight="1">
      <c r="B50" s="406"/>
      <c r="C50" s="406"/>
      <c r="D50" s="406"/>
      <c r="E50" s="406"/>
      <c r="F50" s="406"/>
      <c r="G50" s="406"/>
      <c r="H50" s="406"/>
      <c r="I50" s="406"/>
      <c r="J50" s="406"/>
      <c r="K50" s="406"/>
      <c r="L50" s="406"/>
      <c r="M50" s="406"/>
      <c r="N50" s="406"/>
      <c r="O50" s="406"/>
      <c r="P50" s="406"/>
      <c r="Q50" s="406"/>
      <c r="R50" s="406"/>
      <c r="S50" s="406"/>
      <c r="T50" s="406"/>
      <c r="U50" s="406"/>
      <c r="V50" s="406"/>
      <c r="W50" s="406"/>
      <c r="X50" s="406"/>
      <c r="Y50" s="406"/>
      <c r="Z50" s="406"/>
      <c r="AA50" s="406"/>
      <c r="AB50" s="406"/>
      <c r="AC50" s="406"/>
      <c r="AD50" s="406"/>
      <c r="AE50" s="406"/>
      <c r="AF50" s="406"/>
      <c r="AG50" s="406"/>
      <c r="AH50" s="406"/>
      <c r="AI50" s="406"/>
      <c r="AJ50" s="406"/>
      <c r="AK50" s="406"/>
      <c r="AL50" s="406"/>
      <c r="AM50" s="406"/>
      <c r="AN50" s="406"/>
      <c r="AO50" s="406"/>
      <c r="AP50" s="406"/>
      <c r="AQ50" s="406"/>
      <c r="AR50" s="406"/>
      <c r="AS50" s="406"/>
      <c r="AT50" s="406"/>
      <c r="AU50" s="406"/>
      <c r="AV50" s="406"/>
      <c r="AW50" s="406"/>
      <c r="AX50" s="406"/>
      <c r="AY50" s="406"/>
      <c r="AZ50" s="406"/>
      <c r="BA50" s="406"/>
      <c r="BB50" s="406"/>
      <c r="BC50" s="406"/>
      <c r="BD50" s="406"/>
      <c r="BE50" s="406"/>
      <c r="BF50" s="406"/>
      <c r="BG50" s="406"/>
      <c r="BH50" s="406"/>
      <c r="BI50" s="411">
        <v>48</v>
      </c>
      <c r="BJ50" s="410" t="str" cm="1">
        <f t="array" aca="1" ref="BJ50" ca="1" xml:space="preserve"> INDIRECT( ADDRESS( ROW($C$17), COLUMN($C$17) +$BI50) )</f>
        <v>ˋ</v>
      </c>
      <c r="BK50" s="409" cm="1">
        <f t="array" aca="1" ref="BK50" ca="1" xml:space="preserve"> INDIRECT( ADDRESS( ROW($C$19), COLUMN($C$19) +$BI50) )</f>
        <v>2</v>
      </c>
      <c r="BL50" s="408" cm="1">
        <f t="array" aca="1" ref="BL50" ca="1" xml:space="preserve"> INDIRECT( ADDRESS( ROW($C$18), COLUMN($C$18) +$BI50) )</f>
        <v>2</v>
      </c>
      <c r="BM50" s="407" t="str" cm="1">
        <f t="array" aca="1" ref="BM50" ca="1" xml:space="preserve"> INDIRECT( ADDRESS( ROW($C$16), COLUMN($C$16) +$BI50) )</f>
        <v>4</v>
      </c>
      <c r="BP50" s="517" t="str">
        <f t="shared" ca="1" si="0"/>
        <v>"4": { commit: "ˋ" }</v>
      </c>
    </row>
    <row r="51" spans="2:68" ht="31.5" customHeight="1">
      <c r="B51" s="406"/>
      <c r="C51" s="406"/>
      <c r="D51" s="406"/>
      <c r="E51" s="406"/>
      <c r="F51" s="406"/>
      <c r="G51" s="406"/>
      <c r="H51" s="406"/>
      <c r="I51" s="406"/>
      <c r="J51" s="406"/>
      <c r="K51" s="406"/>
      <c r="L51" s="406"/>
      <c r="M51" s="406"/>
      <c r="N51" s="406"/>
      <c r="O51" s="406"/>
      <c r="P51" s="406"/>
      <c r="Q51" s="406"/>
      <c r="R51" s="406"/>
      <c r="S51" s="406"/>
      <c r="T51" s="406"/>
      <c r="U51" s="406"/>
      <c r="V51" s="406"/>
      <c r="W51" s="406"/>
      <c r="X51" s="406"/>
      <c r="Y51" s="406"/>
      <c r="Z51" s="406"/>
      <c r="AA51" s="406"/>
      <c r="AB51" s="406"/>
      <c r="AC51" s="406"/>
      <c r="AD51" s="406"/>
      <c r="AE51" s="406"/>
      <c r="AF51" s="406"/>
      <c r="AG51" s="406"/>
      <c r="AH51" s="406"/>
      <c r="AI51" s="406"/>
      <c r="AJ51" s="406"/>
      <c r="AK51" s="406"/>
      <c r="AL51" s="406"/>
      <c r="AM51" s="406"/>
      <c r="AN51" s="406"/>
      <c r="AO51" s="406"/>
      <c r="AP51" s="406"/>
      <c r="AQ51" s="406"/>
      <c r="AR51" s="406"/>
      <c r="AS51" s="406"/>
      <c r="AT51" s="406"/>
      <c r="AU51" s="406"/>
      <c r="AV51" s="406"/>
      <c r="AW51" s="406"/>
      <c r="AX51" s="406"/>
      <c r="AY51" s="406"/>
      <c r="AZ51" s="406"/>
      <c r="BA51" s="406"/>
      <c r="BB51" s="406"/>
      <c r="BC51" s="406"/>
      <c r="BD51" s="406"/>
      <c r="BE51" s="406"/>
      <c r="BF51" s="406"/>
      <c r="BG51" s="406"/>
      <c r="BH51" s="406"/>
      <c r="BI51" s="411">
        <v>49</v>
      </c>
      <c r="BJ51" s="410" t="str" cm="1">
        <f t="array" aca="1" ref="BJ51" ca="1" xml:space="preserve"> INDIRECT( ADDRESS( ROW($C$17), COLUMN($C$17) +$BI51) )</f>
        <v>˪</v>
      </c>
      <c r="BK51" s="409" cm="1">
        <f t="array" aca="1" ref="BK51" ca="1" xml:space="preserve"> INDIRECT( ADDRESS( ROW($C$19), COLUMN($C$19) +$BI51) )</f>
        <v>3</v>
      </c>
      <c r="BL51" s="408" cm="1">
        <f t="array" aca="1" ref="BL51" ca="1" xml:space="preserve"> INDIRECT( ADDRESS( ROW($C$18), COLUMN($C$18) +$BI51) )</f>
        <v>3</v>
      </c>
      <c r="BM51" s="407" t="str" cm="1">
        <f t="array" aca="1" ref="BM51" ca="1" xml:space="preserve"> INDIRECT( ADDRESS( ROW($C$16), COLUMN($C$16) +$BI51) )</f>
        <v>3</v>
      </c>
      <c r="BP51" s="517" t="str">
        <f t="shared" ca="1" si="0"/>
        <v>"3": { commit: "˪" }</v>
      </c>
    </row>
    <row r="52" spans="2:68" ht="31.5" customHeight="1">
      <c r="B52" s="406"/>
      <c r="C52" s="406"/>
      <c r="D52" s="406"/>
      <c r="E52" s="406"/>
      <c r="F52" s="406"/>
      <c r="G52" s="406"/>
      <c r="H52" s="406"/>
      <c r="I52" s="406"/>
      <c r="J52" s="406"/>
      <c r="K52" s="406"/>
      <c r="L52" s="406"/>
      <c r="M52" s="406"/>
      <c r="N52" s="406"/>
      <c r="O52" s="406"/>
      <c r="P52" s="406"/>
      <c r="Q52" s="406"/>
      <c r="R52" s="406"/>
      <c r="S52" s="406"/>
      <c r="T52" s="406"/>
      <c r="U52" s="406"/>
      <c r="V52" s="406"/>
      <c r="W52" s="406"/>
      <c r="X52" s="406"/>
      <c r="Y52" s="406"/>
      <c r="Z52" s="406"/>
      <c r="AA52" s="406"/>
      <c r="AB52" s="406"/>
      <c r="AC52" s="406"/>
      <c r="AD52" s="406"/>
      <c r="AE52" s="406"/>
      <c r="AF52" s="406"/>
      <c r="AG52" s="406"/>
      <c r="AH52" s="406"/>
      <c r="AI52" s="406"/>
      <c r="AJ52" s="406"/>
      <c r="AK52" s="406"/>
      <c r="AL52" s="406"/>
      <c r="AM52" s="406"/>
      <c r="AN52" s="406"/>
      <c r="AO52" s="406"/>
      <c r="AP52" s="406"/>
      <c r="AQ52" s="406"/>
      <c r="AR52" s="406"/>
      <c r="AS52" s="406"/>
      <c r="AT52" s="406"/>
      <c r="AU52" s="406"/>
      <c r="AV52" s="406"/>
      <c r="AW52" s="406"/>
      <c r="AX52" s="406"/>
      <c r="AY52" s="406"/>
      <c r="AZ52" s="406"/>
      <c r="BA52" s="406"/>
      <c r="BB52" s="406"/>
      <c r="BC52" s="406"/>
      <c r="BD52" s="406"/>
      <c r="BE52" s="406"/>
      <c r="BF52" s="406"/>
      <c r="BG52" s="406"/>
      <c r="BH52" s="406"/>
      <c r="BI52" s="411">
        <v>50</v>
      </c>
      <c r="BJ52" s="410" t="str" cm="1">
        <f t="array" aca="1" ref="BJ52" ca="1" xml:space="preserve"> INDIRECT( ADDRESS( ROW($C$17), COLUMN($C$17) +$BI52) )</f>
        <v>ˊ</v>
      </c>
      <c r="BK52" s="409" cm="1">
        <f t="array" aca="1" ref="BK52" ca="1" xml:space="preserve"> INDIRECT( ADDRESS( ROW($C$19), COLUMN($C$19) +$BI52) )</f>
        <v>5</v>
      </c>
      <c r="BL52" s="408" cm="1">
        <f t="array" aca="1" ref="BL52" ca="1" xml:space="preserve"> INDIRECT( ADDRESS( ROW($C$18), COLUMN($C$18) +$BI52) )</f>
        <v>5</v>
      </c>
      <c r="BM52" s="407" t="str" cm="1">
        <f t="array" aca="1" ref="BM52" ca="1" xml:space="preserve"> INDIRECT( ADDRESS( ROW($C$16), COLUMN($C$16) +$BI52) )</f>
        <v>6</v>
      </c>
      <c r="BP52" s="517" t="str">
        <f t="shared" ca="1" si="0"/>
        <v>"6": { commit: "ˊ" }</v>
      </c>
    </row>
    <row r="53" spans="2:68" ht="31.5" customHeight="1">
      <c r="B53" s="406"/>
      <c r="C53" s="406"/>
      <c r="D53" s="406"/>
      <c r="E53" s="406"/>
      <c r="F53" s="406"/>
      <c r="G53" s="406"/>
      <c r="H53" s="406"/>
      <c r="I53" s="406"/>
      <c r="J53" s="406"/>
      <c r="K53" s="406"/>
      <c r="L53" s="406"/>
      <c r="M53" s="406"/>
      <c r="N53" s="406"/>
      <c r="O53" s="406"/>
      <c r="P53" s="406"/>
      <c r="Q53" s="406"/>
      <c r="R53" s="406"/>
      <c r="S53" s="406"/>
      <c r="T53" s="406"/>
      <c r="U53" s="406"/>
      <c r="V53" s="406"/>
      <c r="W53" s="406"/>
      <c r="X53" s="406"/>
      <c r="Y53" s="406"/>
      <c r="Z53" s="406"/>
      <c r="AA53" s="406"/>
      <c r="AB53" s="406"/>
      <c r="AC53" s="406"/>
      <c r="AD53" s="406"/>
      <c r="AE53" s="406"/>
      <c r="AF53" s="406"/>
      <c r="AG53" s="406"/>
      <c r="AH53" s="406"/>
      <c r="AI53" s="406"/>
      <c r="AJ53" s="406"/>
      <c r="AK53" s="406"/>
      <c r="AL53" s="406"/>
      <c r="AM53" s="406"/>
      <c r="AN53" s="406"/>
      <c r="AO53" s="406"/>
      <c r="AP53" s="406"/>
      <c r="AQ53" s="406"/>
      <c r="AR53" s="406"/>
      <c r="AS53" s="406"/>
      <c r="AT53" s="406"/>
      <c r="AU53" s="406"/>
      <c r="AV53" s="406"/>
      <c r="AW53" s="406"/>
      <c r="AX53" s="406"/>
      <c r="AY53" s="406"/>
      <c r="AZ53" s="406"/>
      <c r="BA53" s="406"/>
      <c r="BB53" s="406"/>
      <c r="BC53" s="406"/>
      <c r="BD53" s="406"/>
      <c r="BE53" s="406"/>
      <c r="BF53" s="406"/>
      <c r="BG53" s="406"/>
      <c r="BH53" s="406"/>
      <c r="BI53" s="411">
        <v>51</v>
      </c>
      <c r="BJ53" s="410" t="str" cm="1">
        <f t="array" aca="1" ref="BJ53" ca="1" xml:space="preserve"> INDIRECT( ADDRESS( ROW($C$17), COLUMN($C$17) +$BI53) )</f>
        <v>˫</v>
      </c>
      <c r="BK53" s="409" cm="1">
        <f t="array" aca="1" ref="BK53" ca="1" xml:space="preserve"> INDIRECT( ADDRESS( ROW($C$19), COLUMN($C$19) +$BI53) )</f>
        <v>7</v>
      </c>
      <c r="BL53" s="408" cm="1">
        <f t="array" aca="1" ref="BL53" ca="1" xml:space="preserve"> INDIRECT( ADDRESS( ROW($C$18), COLUMN($C$18) +$BI53) )</f>
        <v>7</v>
      </c>
      <c r="BM53" s="407" t="str" cm="1">
        <f t="array" aca="1" ref="BM53" ca="1" xml:space="preserve"> INDIRECT( ADDRESS( ROW($C$16), COLUMN($C$16) +$BI53) )</f>
        <v>5</v>
      </c>
      <c r="BP53" s="517" t="str">
        <f t="shared" ca="1" si="0"/>
        <v>"5": { commit: "˫" }</v>
      </c>
    </row>
    <row r="54" spans="2:68" ht="31.5" customHeight="1">
      <c r="B54" s="406"/>
      <c r="C54" s="406"/>
      <c r="D54" s="406"/>
      <c r="E54" s="406"/>
      <c r="F54" s="406"/>
      <c r="G54" s="406"/>
      <c r="H54" s="406"/>
      <c r="I54" s="406"/>
      <c r="J54" s="406"/>
      <c r="K54" s="406"/>
      <c r="L54" s="406"/>
      <c r="M54" s="406"/>
      <c r="N54" s="406"/>
      <c r="O54" s="406"/>
      <c r="P54" s="406"/>
      <c r="Q54" s="406"/>
      <c r="R54" s="406"/>
      <c r="S54" s="406"/>
      <c r="T54" s="406"/>
      <c r="U54" s="406"/>
      <c r="V54" s="406"/>
      <c r="W54" s="406"/>
      <c r="X54" s="406"/>
      <c r="Y54" s="406"/>
      <c r="Z54" s="406"/>
      <c r="AA54" s="406"/>
      <c r="AB54" s="406"/>
      <c r="AC54" s="406"/>
      <c r="AD54" s="406"/>
      <c r="AE54" s="406"/>
      <c r="AF54" s="406"/>
      <c r="AG54" s="406"/>
      <c r="AH54" s="406"/>
      <c r="AI54" s="406"/>
      <c r="AJ54" s="406"/>
      <c r="AK54" s="406"/>
      <c r="AL54" s="406"/>
      <c r="AM54" s="406"/>
      <c r="AN54" s="406"/>
      <c r="AO54" s="406"/>
      <c r="AP54" s="406"/>
      <c r="AQ54" s="406"/>
      <c r="AR54" s="406"/>
      <c r="AS54" s="406"/>
      <c r="AT54" s="406"/>
      <c r="AU54" s="406"/>
      <c r="AV54" s="406"/>
      <c r="AW54" s="406"/>
      <c r="AX54" s="406"/>
      <c r="AY54" s="406"/>
      <c r="AZ54" s="406"/>
      <c r="BA54" s="406"/>
      <c r="BB54" s="406"/>
      <c r="BC54" s="406"/>
      <c r="BD54" s="406"/>
      <c r="BE54" s="406"/>
      <c r="BF54" s="406"/>
      <c r="BG54" s="406"/>
      <c r="BH54" s="406"/>
      <c r="BI54" s="411">
        <v>52</v>
      </c>
      <c r="BJ54" s="410" t="str" cm="1">
        <f t="array" aca="1" ref="BJ54" ca="1" xml:space="preserve"> INDIRECT( ADDRESS( ROW($C$17), COLUMN($C$17) +$BI54) )</f>
        <v>˙</v>
      </c>
      <c r="BK54" s="409" cm="1">
        <f t="array" aca="1" ref="BK54" ca="1" xml:space="preserve"> INDIRECT( ADDRESS( ROW($C$19), COLUMN($C$19) +$BI54) )</f>
        <v>8</v>
      </c>
      <c r="BL54" s="408" t="str" cm="1">
        <f t="array" aca="1" ref="BL54" ca="1" xml:space="preserve"> INDIRECT( ADDRESS( ROW($C$18), COLUMN($C$18) +$BI54) )</f>
        <v>0</v>
      </c>
      <c r="BM54" s="407" t="str" cm="1">
        <f t="array" aca="1" ref="BM54" ca="1" xml:space="preserve"> INDIRECT( ADDRESS( ROW($C$16), COLUMN($C$16) +$BI54) )</f>
        <v>7</v>
      </c>
      <c r="BP54" s="517" t="str">
        <f t="shared" ca="1" si="0"/>
        <v>"7": { commit: "˙" }</v>
      </c>
    </row>
    <row r="55" spans="2:68" ht="38.1" customHeight="1">
      <c r="B55" s="406"/>
      <c r="C55" s="406"/>
      <c r="D55" s="406"/>
      <c r="E55" s="406"/>
      <c r="F55" s="406"/>
      <c r="G55" s="406"/>
      <c r="H55" s="406"/>
      <c r="I55" s="406"/>
      <c r="J55" s="406"/>
      <c r="K55" s="406"/>
      <c r="L55" s="406"/>
      <c r="M55" s="406"/>
      <c r="N55" s="406"/>
      <c r="O55" s="406"/>
      <c r="P55" s="406"/>
      <c r="Q55" s="406"/>
      <c r="R55" s="406"/>
      <c r="S55" s="406"/>
      <c r="T55" s="406"/>
      <c r="U55" s="406"/>
      <c r="V55" s="406"/>
      <c r="W55" s="406"/>
      <c r="X55" s="406"/>
      <c r="Y55" s="406"/>
      <c r="Z55" s="406"/>
      <c r="AA55" s="406"/>
      <c r="AB55" s="406"/>
      <c r="AC55" s="406"/>
      <c r="AD55" s="406"/>
      <c r="AE55" s="406"/>
      <c r="AF55" s="406"/>
      <c r="AG55" s="406"/>
      <c r="AH55" s="406"/>
      <c r="AI55" s="406"/>
      <c r="AJ55" s="406"/>
      <c r="AK55" s="406"/>
      <c r="AL55" s="406"/>
      <c r="AM55" s="406"/>
      <c r="AN55" s="406"/>
      <c r="AO55" s="406"/>
      <c r="AP55" s="406"/>
      <c r="AQ55" s="406"/>
      <c r="AR55" s="406"/>
      <c r="AS55" s="406"/>
      <c r="AT55" s="406"/>
      <c r="AU55" s="406"/>
      <c r="AV55" s="406"/>
      <c r="AW55" s="406"/>
      <c r="AX55" s="406"/>
      <c r="AY55" s="406"/>
      <c r="AZ55" s="406"/>
      <c r="BA55" s="406"/>
      <c r="BB55" s="406"/>
      <c r="BC55" s="406"/>
      <c r="BD55" s="406"/>
      <c r="BE55" s="406"/>
      <c r="BF55" s="406"/>
      <c r="BG55" s="406"/>
      <c r="BH55" s="406"/>
    </row>
    <row r="56" spans="2:68" ht="38.1" customHeight="1">
      <c r="AH56" s="406"/>
      <c r="AI56" s="406"/>
      <c r="AJ56" s="406"/>
      <c r="AK56" s="406"/>
      <c r="AL56" s="406"/>
      <c r="AM56" s="406"/>
      <c r="AN56" s="406"/>
      <c r="AO56" s="406"/>
      <c r="AP56" s="406"/>
      <c r="AQ56" s="406"/>
      <c r="AR56" s="406"/>
      <c r="AS56" s="406"/>
      <c r="AT56" s="406"/>
      <c r="AU56" s="406"/>
      <c r="AV56" s="406"/>
      <c r="AW56" s="406"/>
      <c r="AX56" s="406"/>
      <c r="AY56" s="406"/>
      <c r="AZ56" s="406"/>
      <c r="BA56" s="406"/>
      <c r="BB56" s="406"/>
      <c r="BC56" s="406"/>
      <c r="BD56" s="406"/>
      <c r="BE56" s="406"/>
      <c r="BF56" s="406"/>
      <c r="BG56" s="406"/>
      <c r="BH56" s="406"/>
    </row>
    <row r="57" spans="2:68" ht="38.1" customHeight="1">
      <c r="AH57" s="406"/>
      <c r="AI57" s="406"/>
      <c r="AJ57" s="406"/>
      <c r="AK57" s="406"/>
      <c r="AL57" s="406"/>
      <c r="AM57" s="406"/>
      <c r="AN57" s="406"/>
      <c r="AO57" s="406"/>
      <c r="AP57" s="406"/>
      <c r="AQ57" s="406"/>
      <c r="AR57" s="406"/>
      <c r="AS57" s="406"/>
      <c r="AT57" s="406"/>
      <c r="AU57" s="406"/>
      <c r="AV57" s="406"/>
      <c r="AW57" s="406"/>
      <c r="AX57" s="406"/>
      <c r="AY57" s="406"/>
      <c r="AZ57" s="406"/>
      <c r="BA57" s="406"/>
      <c r="BB57" s="406"/>
      <c r="BC57" s="406"/>
      <c r="BD57" s="406"/>
      <c r="BE57" s="406"/>
      <c r="BF57" s="406"/>
      <c r="BG57" s="406"/>
      <c r="BH57" s="406"/>
    </row>
    <row r="58" spans="2:68" ht="38.1" customHeight="1">
      <c r="AH58" s="406"/>
      <c r="AI58" s="406"/>
      <c r="AJ58" s="406"/>
      <c r="AK58" s="406"/>
      <c r="AL58" s="406"/>
      <c r="AM58" s="406"/>
      <c r="AN58" s="406"/>
      <c r="AO58" s="406"/>
      <c r="AP58" s="406"/>
      <c r="AQ58" s="406"/>
      <c r="AR58" s="406"/>
      <c r="AS58" s="406"/>
      <c r="AT58" s="406"/>
      <c r="AU58" s="406"/>
      <c r="AV58" s="406"/>
      <c r="AW58" s="406"/>
      <c r="AX58" s="406"/>
      <c r="AY58" s="406"/>
      <c r="AZ58" s="406"/>
      <c r="BA58" s="406"/>
      <c r="BB58" s="406"/>
      <c r="BC58" s="406"/>
      <c r="BD58" s="406"/>
      <c r="BE58" s="406"/>
      <c r="BF58" s="406"/>
      <c r="BG58" s="406"/>
      <c r="BH58" s="406"/>
    </row>
    <row r="59" spans="2:68" ht="38.1" customHeight="1">
      <c r="AH59" s="406"/>
      <c r="AI59" s="406"/>
      <c r="AJ59" s="406"/>
      <c r="AK59" s="406"/>
      <c r="AL59" s="406"/>
      <c r="AM59" s="406"/>
      <c r="AN59" s="406"/>
      <c r="AO59" s="406"/>
      <c r="AP59" s="406"/>
      <c r="AQ59" s="406"/>
      <c r="AR59" s="406"/>
      <c r="AS59" s="406"/>
      <c r="AT59" s="406"/>
      <c r="AU59" s="406"/>
      <c r="AV59" s="406"/>
      <c r="AW59" s="406"/>
      <c r="AX59" s="406"/>
      <c r="AY59" s="406"/>
      <c r="AZ59" s="406"/>
      <c r="BA59" s="406"/>
      <c r="BB59" s="406"/>
      <c r="BC59" s="406"/>
      <c r="BD59" s="406"/>
      <c r="BE59" s="406"/>
      <c r="BF59" s="406"/>
      <c r="BG59" s="406"/>
      <c r="BH59" s="406"/>
    </row>
    <row r="60" spans="2:68" ht="38.1" customHeight="1">
      <c r="BD60" s="406"/>
      <c r="BE60" s="406"/>
      <c r="BF60" s="406"/>
      <c r="BG60" s="406"/>
      <c r="BH60" s="406"/>
    </row>
    <row r="61" spans="2:68">
      <c r="BD61" s="406"/>
      <c r="BE61" s="406"/>
      <c r="BF61" s="406"/>
      <c r="BG61" s="406"/>
      <c r="BH61" s="406"/>
    </row>
    <row r="62" spans="2:68">
      <c r="BD62" s="406"/>
      <c r="BE62" s="406"/>
      <c r="BF62" s="406"/>
      <c r="BG62" s="406"/>
      <c r="BH62" s="406"/>
    </row>
    <row r="63" spans="2:68">
      <c r="BD63" s="406"/>
      <c r="BE63" s="406"/>
      <c r="BF63" s="406"/>
      <c r="BG63" s="406"/>
      <c r="BH63" s="406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Q63"/>
  <sheetViews>
    <sheetView topLeftCell="BC1" workbookViewId="0"/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5" width="5.09765625" customWidth="1"/>
    <col min="56" max="56" width="28.3984375" customWidth="1"/>
    <col min="57" max="57" width="6.296875" customWidth="1"/>
    <col min="58" max="61" width="11.59765625" customWidth="1"/>
    <col min="64" max="64" width="10.09765625" customWidth="1"/>
    <col min="65" max="65" width="11.19921875" customWidth="1"/>
    <col min="66" max="67" width="10.796875" customWidth="1"/>
  </cols>
  <sheetData>
    <row r="1" spans="1:69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38"/>
      <c r="AW1" s="38"/>
      <c r="AX1" s="38"/>
      <c r="AY1" s="38"/>
      <c r="AZ1" s="38"/>
      <c r="BA1" s="38"/>
      <c r="BB1" s="38"/>
      <c r="BC1" s="38"/>
    </row>
    <row r="2" spans="1:69" s="3" customFormat="1" ht="40.5" customHeight="1">
      <c r="A2" s="22"/>
      <c r="B2" s="25" t="s">
        <v>103</v>
      </c>
      <c r="C2" s="26"/>
      <c r="D2" s="24">
        <f xml:space="preserve"> COLUMN() - 3</f>
        <v>1</v>
      </c>
      <c r="E2" s="24">
        <f t="shared" ref="E2:BB2" si="0" xml:space="preserve"> COLUMN() - 3</f>
        <v>2</v>
      </c>
      <c r="F2" s="24">
        <f t="shared" si="0"/>
        <v>3</v>
      </c>
      <c r="G2" s="24">
        <f t="shared" si="0"/>
        <v>4</v>
      </c>
      <c r="H2" s="24">
        <f t="shared" si="0"/>
        <v>5</v>
      </c>
      <c r="I2" s="24">
        <f t="shared" si="0"/>
        <v>6</v>
      </c>
      <c r="J2" s="24">
        <f t="shared" si="0"/>
        <v>7</v>
      </c>
      <c r="K2" s="24">
        <f t="shared" si="0"/>
        <v>8</v>
      </c>
      <c r="L2" s="24">
        <f t="shared" si="0"/>
        <v>9</v>
      </c>
      <c r="M2" s="24">
        <f t="shared" si="0"/>
        <v>10</v>
      </c>
      <c r="N2" s="24">
        <f t="shared" si="0"/>
        <v>11</v>
      </c>
      <c r="O2" s="24">
        <f t="shared" si="0"/>
        <v>12</v>
      </c>
      <c r="P2" s="24">
        <f t="shared" si="0"/>
        <v>13</v>
      </c>
      <c r="Q2" s="24">
        <f t="shared" si="0"/>
        <v>14</v>
      </c>
      <c r="R2" s="24">
        <f t="shared" si="0"/>
        <v>15</v>
      </c>
      <c r="S2" s="24">
        <f t="shared" si="0"/>
        <v>16</v>
      </c>
      <c r="T2" s="24">
        <f t="shared" si="0"/>
        <v>17</v>
      </c>
      <c r="U2" s="24">
        <f t="shared" si="0"/>
        <v>18</v>
      </c>
      <c r="V2" s="24">
        <f t="shared" si="0"/>
        <v>19</v>
      </c>
      <c r="W2" s="24">
        <f t="shared" si="0"/>
        <v>20</v>
      </c>
      <c r="X2" s="24">
        <f t="shared" si="0"/>
        <v>21</v>
      </c>
      <c r="Y2" s="24">
        <f t="shared" si="0"/>
        <v>22</v>
      </c>
      <c r="Z2" s="24">
        <f t="shared" si="0"/>
        <v>23</v>
      </c>
      <c r="AA2" s="24">
        <f t="shared" si="0"/>
        <v>24</v>
      </c>
      <c r="AB2" s="24">
        <f t="shared" si="0"/>
        <v>25</v>
      </c>
      <c r="AC2" s="24">
        <f t="shared" si="0"/>
        <v>26</v>
      </c>
      <c r="AD2" s="24">
        <f t="shared" si="0"/>
        <v>27</v>
      </c>
      <c r="AE2" s="24">
        <f t="shared" si="0"/>
        <v>28</v>
      </c>
      <c r="AF2" s="24">
        <f t="shared" si="0"/>
        <v>29</v>
      </c>
      <c r="AG2" s="24">
        <f t="shared" si="0"/>
        <v>30</v>
      </c>
      <c r="AH2" s="24">
        <f t="shared" si="0"/>
        <v>31</v>
      </c>
      <c r="AI2" s="24">
        <f t="shared" si="0"/>
        <v>32</v>
      </c>
      <c r="AJ2" s="24">
        <f t="shared" si="0"/>
        <v>33</v>
      </c>
      <c r="AK2" s="24">
        <f t="shared" si="0"/>
        <v>34</v>
      </c>
      <c r="AL2" s="24">
        <f t="shared" si="0"/>
        <v>35</v>
      </c>
      <c r="AM2" s="24">
        <f t="shared" si="0"/>
        <v>36</v>
      </c>
      <c r="AN2" s="24">
        <f t="shared" si="0"/>
        <v>37</v>
      </c>
      <c r="AO2" s="24">
        <f t="shared" si="0"/>
        <v>38</v>
      </c>
      <c r="AP2" s="24">
        <f t="shared" si="0"/>
        <v>39</v>
      </c>
      <c r="AQ2" s="24">
        <f t="shared" si="0"/>
        <v>40</v>
      </c>
      <c r="AR2" s="24">
        <f t="shared" si="0"/>
        <v>41</v>
      </c>
      <c r="AS2" s="24">
        <f t="shared" si="0"/>
        <v>42</v>
      </c>
      <c r="AT2" s="24">
        <f t="shared" si="0"/>
        <v>43</v>
      </c>
      <c r="AU2" s="24">
        <f t="shared" si="0"/>
        <v>44</v>
      </c>
      <c r="AV2" s="24">
        <f t="shared" si="0"/>
        <v>45</v>
      </c>
      <c r="AW2" s="24">
        <f t="shared" si="0"/>
        <v>46</v>
      </c>
      <c r="AX2" s="24">
        <f t="shared" si="0"/>
        <v>47</v>
      </c>
      <c r="AY2" s="24">
        <f t="shared" si="0"/>
        <v>48</v>
      </c>
      <c r="AZ2" s="24">
        <f t="shared" si="0"/>
        <v>49</v>
      </c>
      <c r="BA2" s="24">
        <f t="shared" si="0"/>
        <v>50</v>
      </c>
      <c r="BB2" s="24">
        <f t="shared" si="0"/>
        <v>51</v>
      </c>
      <c r="BJ2"/>
      <c r="BM2"/>
      <c r="BN2"/>
      <c r="BO2"/>
      <c r="BP2"/>
    </row>
    <row r="3" spans="1:69" ht="40.5" customHeight="1">
      <c r="A3" s="10"/>
      <c r="B3" s="29" t="s">
        <v>798</v>
      </c>
      <c r="C3" s="30"/>
      <c r="D3" s="312">
        <v>1</v>
      </c>
      <c r="E3" s="312" t="s">
        <v>634</v>
      </c>
      <c r="F3" s="313" t="s">
        <v>223</v>
      </c>
      <c r="G3" s="313" t="s">
        <v>224</v>
      </c>
      <c r="H3" s="312">
        <v>2</v>
      </c>
      <c r="I3" s="312" t="s">
        <v>248</v>
      </c>
      <c r="J3" s="312" t="s">
        <v>249</v>
      </c>
      <c r="K3" s="312" t="s">
        <v>250</v>
      </c>
      <c r="L3" s="312" t="s">
        <v>251</v>
      </c>
      <c r="M3" s="312" t="s">
        <v>650</v>
      </c>
      <c r="N3" s="312" t="s">
        <v>163</v>
      </c>
      <c r="O3" s="312" t="s">
        <v>226</v>
      </c>
      <c r="P3" s="312" t="s">
        <v>252</v>
      </c>
      <c r="Q3" s="312" t="s">
        <v>253</v>
      </c>
      <c r="R3" s="312" t="s">
        <v>209</v>
      </c>
      <c r="S3" s="312" t="s">
        <v>247</v>
      </c>
      <c r="T3" s="312" t="s">
        <v>254</v>
      </c>
      <c r="U3" s="313" t="s">
        <v>668</v>
      </c>
      <c r="V3" s="313" t="s">
        <v>652</v>
      </c>
      <c r="W3" s="313" t="s">
        <v>670</v>
      </c>
      <c r="X3" s="313" t="s">
        <v>252</v>
      </c>
      <c r="Y3" s="312" t="s">
        <v>237</v>
      </c>
      <c r="Z3" s="312" t="s">
        <v>246</v>
      </c>
      <c r="AA3" s="312" t="s">
        <v>255</v>
      </c>
      <c r="AB3" s="312">
        <v>8</v>
      </c>
      <c r="AC3" s="312" t="s">
        <v>236</v>
      </c>
      <c r="AD3" s="312" t="s">
        <v>243</v>
      </c>
      <c r="AE3" s="312" t="s">
        <v>256</v>
      </c>
      <c r="AF3" s="312" t="s">
        <v>239</v>
      </c>
      <c r="AG3" s="314" t="s">
        <v>257</v>
      </c>
      <c r="AH3" s="312">
        <v>9</v>
      </c>
      <c r="AI3" s="312" t="s">
        <v>194</v>
      </c>
      <c r="AJ3" s="315">
        <v>0</v>
      </c>
      <c r="AK3" s="312" t="s">
        <v>630</v>
      </c>
      <c r="AL3" s="312" t="s">
        <v>644</v>
      </c>
      <c r="AM3" s="312" t="s">
        <v>645</v>
      </c>
      <c r="AN3" s="312" t="s">
        <v>646</v>
      </c>
      <c r="AO3" s="312" t="s">
        <v>647</v>
      </c>
      <c r="AP3" s="312" t="s">
        <v>648</v>
      </c>
      <c r="AQ3" s="313" t="s">
        <v>635</v>
      </c>
      <c r="AR3" s="316" t="s">
        <v>643</v>
      </c>
      <c r="AS3" s="323" t="s">
        <v>668</v>
      </c>
      <c r="AT3" s="323" t="s">
        <v>670</v>
      </c>
      <c r="AU3" s="323" t="s">
        <v>669</v>
      </c>
      <c r="AV3" s="351" t="s">
        <v>204</v>
      </c>
      <c r="AW3" s="314" t="s">
        <v>679</v>
      </c>
      <c r="AX3" s="312">
        <v>4</v>
      </c>
      <c r="AY3" s="312">
        <v>3</v>
      </c>
      <c r="AZ3" s="312">
        <v>6</v>
      </c>
      <c r="BA3" s="312">
        <v>5</v>
      </c>
      <c r="BB3" s="317">
        <v>7</v>
      </c>
    </row>
    <row r="4" spans="1:69" s="3" customFormat="1" ht="40.5" customHeight="1">
      <c r="A4" s="10"/>
      <c r="B4" s="47" t="s">
        <v>104</v>
      </c>
      <c r="C4" s="48"/>
      <c r="D4" s="155" t="s">
        <v>8</v>
      </c>
      <c r="E4" s="311" t="s">
        <v>90</v>
      </c>
      <c r="F4" s="155" t="s">
        <v>37</v>
      </c>
      <c r="G4" s="155" t="s">
        <v>55</v>
      </c>
      <c r="H4" s="155" t="s">
        <v>10</v>
      </c>
      <c r="I4" s="155" t="s">
        <v>39</v>
      </c>
      <c r="J4" s="155" t="s">
        <v>67</v>
      </c>
      <c r="K4" s="155" t="s">
        <v>92</v>
      </c>
      <c r="L4" s="155" t="s">
        <v>357</v>
      </c>
      <c r="M4" s="311" t="s">
        <v>44</v>
      </c>
      <c r="N4" s="155" t="s">
        <v>356</v>
      </c>
      <c r="O4" s="155" t="s">
        <v>94</v>
      </c>
      <c r="P4" s="156" t="s">
        <v>199</v>
      </c>
      <c r="Q4" s="155" t="s">
        <v>46</v>
      </c>
      <c r="R4" s="311" t="s">
        <v>106</v>
      </c>
      <c r="S4" s="155" t="s">
        <v>74</v>
      </c>
      <c r="T4" s="155" t="s">
        <v>98</v>
      </c>
      <c r="U4" s="155" t="s">
        <v>43</v>
      </c>
      <c r="V4" s="155" t="s">
        <v>105</v>
      </c>
      <c r="W4" s="155" t="s">
        <v>71</v>
      </c>
      <c r="X4" s="155" t="s">
        <v>96</v>
      </c>
      <c r="Y4" s="155" t="s">
        <v>48</v>
      </c>
      <c r="Z4" s="155" t="s">
        <v>76</v>
      </c>
      <c r="AA4" s="156" t="s">
        <v>100</v>
      </c>
      <c r="AB4" s="155" t="s">
        <v>20</v>
      </c>
      <c r="AC4" s="155" t="s">
        <v>50</v>
      </c>
      <c r="AD4" s="155" t="s">
        <v>78</v>
      </c>
      <c r="AE4" s="155" t="s">
        <v>225</v>
      </c>
      <c r="AF4" s="155" t="s">
        <v>54</v>
      </c>
      <c r="AG4" s="155" t="s">
        <v>115</v>
      </c>
      <c r="AH4" s="303" t="s">
        <v>22</v>
      </c>
      <c r="AI4" s="303" t="s">
        <v>80</v>
      </c>
      <c r="AJ4" s="303" t="s">
        <v>23</v>
      </c>
      <c r="AK4" s="303" t="s">
        <v>81</v>
      </c>
      <c r="AL4" s="156" t="s">
        <v>116</v>
      </c>
      <c r="AM4" s="156" t="s">
        <v>117</v>
      </c>
      <c r="AN4" s="156" t="s">
        <v>107</v>
      </c>
      <c r="AO4" s="156" t="s">
        <v>108</v>
      </c>
      <c r="AP4" s="156" t="s">
        <v>110</v>
      </c>
      <c r="AQ4" s="156" t="s">
        <v>111</v>
      </c>
      <c r="AR4" s="156" t="s">
        <v>112</v>
      </c>
      <c r="AS4" s="156" t="s">
        <v>101</v>
      </c>
      <c r="AT4" s="156" t="s">
        <v>114</v>
      </c>
      <c r="AU4" s="156" t="s">
        <v>113</v>
      </c>
      <c r="AV4" s="155" t="s">
        <v>797</v>
      </c>
      <c r="AW4" s="155" t="s">
        <v>710</v>
      </c>
      <c r="AX4" s="155" t="s">
        <v>14</v>
      </c>
      <c r="AY4" s="155" t="s">
        <v>12</v>
      </c>
      <c r="AZ4" s="155" t="s">
        <v>18</v>
      </c>
      <c r="BA4" s="155" t="s">
        <v>16</v>
      </c>
      <c r="BB4" s="155" t="s">
        <v>678</v>
      </c>
      <c r="BF4" s="381" t="s">
        <v>673</v>
      </c>
      <c r="BG4" s="382" t="str">
        <f xml:space="preserve"> _xlfn.CONCAT(BF9:BF55)</f>
        <v>1!qa2wsxeEdcvyYhnujm8ik,p/9l0;UJ*I&lt;(Lrfvz 43657</v>
      </c>
      <c r="BJ4"/>
      <c r="BM4"/>
      <c r="BN4"/>
      <c r="BO4"/>
      <c r="BP4" s="381" t="s">
        <v>673</v>
      </c>
      <c r="BQ4" s="326" t="s">
        <v>676</v>
      </c>
    </row>
    <row r="5" spans="1:69" ht="40.5" customHeight="1">
      <c r="A5" s="10"/>
      <c r="B5" s="27" t="s">
        <v>844</v>
      </c>
      <c r="C5" s="28"/>
      <c r="D5" s="114" t="s">
        <v>9</v>
      </c>
      <c r="E5" s="114" t="s">
        <v>91</v>
      </c>
      <c r="F5" s="114" t="s">
        <v>38</v>
      </c>
      <c r="G5" s="114" t="s">
        <v>66</v>
      </c>
      <c r="H5" s="114" t="s">
        <v>11</v>
      </c>
      <c r="I5" s="114" t="s">
        <v>40</v>
      </c>
      <c r="J5" s="114" t="s">
        <v>520</v>
      </c>
      <c r="K5" s="114" t="s">
        <v>93</v>
      </c>
      <c r="L5" s="114" t="s">
        <v>42</v>
      </c>
      <c r="M5" s="114" t="s">
        <v>45</v>
      </c>
      <c r="N5" s="114" t="s">
        <v>70</v>
      </c>
      <c r="O5" s="114" t="s">
        <v>95</v>
      </c>
      <c r="P5" s="114" t="s">
        <v>73</v>
      </c>
      <c r="Q5" s="115" t="s">
        <v>226</v>
      </c>
      <c r="R5" s="114" t="s">
        <v>97</v>
      </c>
      <c r="S5" s="115" t="s">
        <v>227</v>
      </c>
      <c r="T5" s="114" t="s">
        <v>99</v>
      </c>
      <c r="U5" s="115" t="s">
        <v>842</v>
      </c>
      <c r="V5" s="115" t="s">
        <v>131</v>
      </c>
      <c r="W5" s="115" t="s">
        <v>843</v>
      </c>
      <c r="X5" s="115" t="s">
        <v>133</v>
      </c>
      <c r="Y5" s="114" t="s">
        <v>49</v>
      </c>
      <c r="Z5" s="114" t="s">
        <v>77</v>
      </c>
      <c r="AA5" s="116" t="s">
        <v>234</v>
      </c>
      <c r="AB5" s="114" t="s">
        <v>21</v>
      </c>
      <c r="AC5" s="114" t="s">
        <v>598</v>
      </c>
      <c r="AD5" s="114" t="s">
        <v>79</v>
      </c>
      <c r="AE5" s="114" t="s">
        <v>53</v>
      </c>
      <c r="AF5" s="116" t="s">
        <v>233</v>
      </c>
      <c r="AG5" s="114" t="s">
        <v>217</v>
      </c>
      <c r="AH5" s="114" t="s">
        <v>625</v>
      </c>
      <c r="AI5" s="116" t="s">
        <v>626</v>
      </c>
      <c r="AJ5" s="116" t="s">
        <v>629</v>
      </c>
      <c r="AK5" s="116" t="s">
        <v>631</v>
      </c>
      <c r="AL5" s="114" t="s">
        <v>638</v>
      </c>
      <c r="AM5" s="114" t="s">
        <v>639</v>
      </c>
      <c r="AN5" s="114" t="s">
        <v>640</v>
      </c>
      <c r="AO5" s="114" t="s">
        <v>641</v>
      </c>
      <c r="AP5" s="114" t="s">
        <v>642</v>
      </c>
      <c r="AQ5" s="116" t="s">
        <v>636</v>
      </c>
      <c r="AR5" s="116" t="s">
        <v>637</v>
      </c>
      <c r="AS5" s="116" t="s">
        <v>656</v>
      </c>
      <c r="AT5" s="116" t="s">
        <v>664</v>
      </c>
      <c r="AU5" s="116" t="s">
        <v>665</v>
      </c>
      <c r="AV5" s="116" t="s">
        <v>231</v>
      </c>
      <c r="AW5" s="114">
        <v>1</v>
      </c>
      <c r="AX5" s="114">
        <v>2</v>
      </c>
      <c r="AY5" s="114">
        <v>3</v>
      </c>
      <c r="AZ5" s="114">
        <v>5</v>
      </c>
      <c r="BA5" s="114">
        <v>7</v>
      </c>
      <c r="BB5" s="114">
        <v>8</v>
      </c>
      <c r="BF5" s="381" t="s">
        <v>674</v>
      </c>
      <c r="BP5" s="381" t="s">
        <v>674</v>
      </c>
      <c r="BQ5" s="326" t="s">
        <v>675</v>
      </c>
    </row>
    <row r="6" spans="1:69" s="3" customFormat="1" ht="40.5" customHeight="1">
      <c r="A6" s="10"/>
      <c r="B6" s="49" t="s">
        <v>229</v>
      </c>
      <c r="C6" s="50"/>
      <c r="D6" s="112" t="s">
        <v>239</v>
      </c>
      <c r="E6" s="112" t="s">
        <v>238</v>
      </c>
      <c r="F6" s="113" t="s">
        <v>240</v>
      </c>
      <c r="G6" s="112" t="s">
        <v>66</v>
      </c>
      <c r="H6" s="112" t="s">
        <v>244</v>
      </c>
      <c r="I6" s="113" t="s">
        <v>241</v>
      </c>
      <c r="J6" s="113" t="s">
        <v>193</v>
      </c>
      <c r="K6" s="112" t="s">
        <v>93</v>
      </c>
      <c r="L6" s="112" t="s">
        <v>243</v>
      </c>
      <c r="M6" s="112" t="s">
        <v>245</v>
      </c>
      <c r="N6" s="113" t="s">
        <v>242</v>
      </c>
      <c r="O6" s="112" t="s">
        <v>247</v>
      </c>
      <c r="P6" s="113" t="s">
        <v>248</v>
      </c>
      <c r="Q6" s="112" t="s">
        <v>226</v>
      </c>
      <c r="R6" s="299" t="s">
        <v>134</v>
      </c>
      <c r="S6" s="112" t="s">
        <v>228</v>
      </c>
      <c r="T6" s="112" t="s">
        <v>99</v>
      </c>
      <c r="U6" s="112" t="s">
        <v>839</v>
      </c>
      <c r="V6" s="112"/>
      <c r="W6" s="112" t="s">
        <v>840</v>
      </c>
      <c r="X6" s="112" t="s">
        <v>841</v>
      </c>
      <c r="Y6" s="112" t="s">
        <v>236</v>
      </c>
      <c r="Z6" s="112" t="s">
        <v>237</v>
      </c>
      <c r="AA6" s="113" t="s">
        <v>624</v>
      </c>
      <c r="AB6" s="112" t="s">
        <v>21</v>
      </c>
      <c r="AC6" s="112" t="s">
        <v>32</v>
      </c>
      <c r="AD6" s="112" t="s">
        <v>79</v>
      </c>
      <c r="AE6" s="112" t="s">
        <v>53</v>
      </c>
      <c r="AF6" s="113" t="s">
        <v>258</v>
      </c>
      <c r="AG6" s="113" t="s">
        <v>623</v>
      </c>
      <c r="AH6" s="300" t="s">
        <v>518</v>
      </c>
      <c r="AI6" s="300" t="s">
        <v>519</v>
      </c>
      <c r="AJ6" s="300" t="s">
        <v>627</v>
      </c>
      <c r="AK6" s="300" t="s">
        <v>628</v>
      </c>
      <c r="AL6" s="113" t="s">
        <v>206</v>
      </c>
      <c r="AM6" s="113" t="s">
        <v>651</v>
      </c>
      <c r="AN6" s="113" t="s">
        <v>652</v>
      </c>
      <c r="AO6" s="113" t="s">
        <v>654</v>
      </c>
      <c r="AP6" s="113" t="s">
        <v>650</v>
      </c>
      <c r="AQ6" s="113" t="s">
        <v>653</v>
      </c>
      <c r="AR6" s="113" t="s">
        <v>655</v>
      </c>
      <c r="AS6" s="113" t="s">
        <v>657</v>
      </c>
      <c r="AT6" s="113" t="s">
        <v>666</v>
      </c>
      <c r="AU6" s="113" t="s">
        <v>667</v>
      </c>
      <c r="AV6" s="214" t="s">
        <v>210</v>
      </c>
      <c r="AW6" s="113">
        <v>1</v>
      </c>
      <c r="AX6" s="112">
        <v>2</v>
      </c>
      <c r="AY6" s="112">
        <v>3</v>
      </c>
      <c r="AZ6" s="112">
        <v>5</v>
      </c>
      <c r="BA6" s="112">
        <v>7</v>
      </c>
      <c r="BB6" s="118">
        <v>0</v>
      </c>
      <c r="BJ6"/>
      <c r="BM6"/>
      <c r="BN6"/>
      <c r="BO6"/>
      <c r="BP6"/>
    </row>
    <row r="7" spans="1:69" s="3" customFormat="1" ht="36" customHeight="1" thickBot="1">
      <c r="A7"/>
      <c r="BE7" s="38"/>
      <c r="BF7"/>
      <c r="BG7"/>
      <c r="BH7"/>
      <c r="BI7"/>
      <c r="BL7" s="38"/>
      <c r="BM7"/>
      <c r="BN7"/>
    </row>
    <row r="8" spans="1:69" ht="42.75" customHeight="1" thickBot="1">
      <c r="A8" s="3"/>
      <c r="B8" s="3"/>
      <c r="C8" s="2"/>
      <c r="D8" s="305" t="s">
        <v>90</v>
      </c>
      <c r="E8" s="301" t="s">
        <v>658</v>
      </c>
      <c r="F8" s="304" t="s">
        <v>91</v>
      </c>
      <c r="G8" s="581" t="s">
        <v>0</v>
      </c>
      <c r="H8" s="582"/>
      <c r="I8" s="583"/>
      <c r="J8" s="598" t="s">
        <v>1</v>
      </c>
      <c r="K8" s="599"/>
      <c r="L8" s="600"/>
      <c r="M8" s="598" t="s">
        <v>2</v>
      </c>
      <c r="N8" s="599"/>
      <c r="O8" s="600"/>
      <c r="P8" s="605" t="s">
        <v>592</v>
      </c>
      <c r="Q8" s="606"/>
      <c r="R8" s="607"/>
      <c r="S8" s="598" t="s">
        <v>3</v>
      </c>
      <c r="T8" s="599"/>
      <c r="U8" s="600"/>
      <c r="V8" s="598" t="s">
        <v>4</v>
      </c>
      <c r="W8" s="599"/>
      <c r="X8" s="600"/>
      <c r="Y8" s="306" t="s">
        <v>107</v>
      </c>
      <c r="Z8" s="302" t="s">
        <v>660</v>
      </c>
      <c r="AA8" s="307" t="s">
        <v>509</v>
      </c>
      <c r="AB8" s="306" t="s">
        <v>111</v>
      </c>
      <c r="AC8" s="302" t="s">
        <v>659</v>
      </c>
      <c r="AD8" s="307" t="s">
        <v>810</v>
      </c>
      <c r="AE8" s="589" t="s">
        <v>5</v>
      </c>
      <c r="AF8" s="590"/>
      <c r="AG8" s="591"/>
      <c r="AH8" s="584" t="s">
        <v>6</v>
      </c>
      <c r="AI8" s="585"/>
      <c r="AJ8" s="586"/>
      <c r="AK8" s="584" t="s">
        <v>7</v>
      </c>
      <c r="AL8" s="585"/>
      <c r="AM8" s="586"/>
      <c r="AN8" s="2"/>
      <c r="AO8" s="2"/>
      <c r="AP8" s="2"/>
      <c r="AQ8" s="2"/>
      <c r="AR8" s="2"/>
      <c r="AS8" s="2"/>
      <c r="AT8" s="2"/>
      <c r="AU8" s="2"/>
      <c r="AV8" s="2"/>
      <c r="AW8" s="38"/>
      <c r="AX8" s="38"/>
      <c r="BD8" s="2"/>
      <c r="BE8" s="318" t="s">
        <v>103</v>
      </c>
      <c r="BF8" s="321" t="s">
        <v>798</v>
      </c>
      <c r="BG8" s="322" t="s">
        <v>104</v>
      </c>
      <c r="BH8" s="319" t="s">
        <v>633</v>
      </c>
      <c r="BI8" s="320" t="s">
        <v>229</v>
      </c>
      <c r="BL8" s="318" t="s">
        <v>103</v>
      </c>
      <c r="BM8" s="376" t="s">
        <v>677</v>
      </c>
      <c r="BN8" s="324" t="s">
        <v>671</v>
      </c>
      <c r="BO8" s="319" t="s">
        <v>672</v>
      </c>
    </row>
    <row r="9" spans="1:69" ht="42.75" customHeight="1" thickTop="1" thickBot="1">
      <c r="C9" s="4"/>
      <c r="D9" s="31" t="s">
        <v>8</v>
      </c>
      <c r="E9" s="32"/>
      <c r="F9" s="108" t="s">
        <v>191</v>
      </c>
      <c r="G9" s="31" t="s">
        <v>10</v>
      </c>
      <c r="H9" s="32"/>
      <c r="I9" s="5" t="s">
        <v>11</v>
      </c>
      <c r="J9" s="608" t="s">
        <v>12</v>
      </c>
      <c r="K9" s="597"/>
      <c r="L9" s="6" t="s">
        <v>13</v>
      </c>
      <c r="M9" s="608" t="s">
        <v>14</v>
      </c>
      <c r="N9" s="597"/>
      <c r="O9" s="6" t="s">
        <v>15</v>
      </c>
      <c r="P9" s="596" t="s">
        <v>16</v>
      </c>
      <c r="Q9" s="609"/>
      <c r="R9" s="6" t="s">
        <v>17</v>
      </c>
      <c r="S9" s="608" t="s">
        <v>18</v>
      </c>
      <c r="T9" s="597"/>
      <c r="U9" s="6" t="s">
        <v>19</v>
      </c>
      <c r="V9" s="596" t="s">
        <v>812</v>
      </c>
      <c r="W9" s="609"/>
      <c r="X9" s="6" t="s">
        <v>632</v>
      </c>
      <c r="Y9" s="308" t="s">
        <v>20</v>
      </c>
      <c r="Z9" s="36" t="s">
        <v>21</v>
      </c>
      <c r="AA9" s="109" t="s">
        <v>21</v>
      </c>
      <c r="AB9" s="308" t="s">
        <v>22</v>
      </c>
      <c r="AC9" s="36" t="s">
        <v>31</v>
      </c>
      <c r="AD9" s="109" t="s">
        <v>372</v>
      </c>
      <c r="AE9" s="308" t="s">
        <v>23</v>
      </c>
      <c r="AF9" s="36" t="s">
        <v>63</v>
      </c>
      <c r="AG9" s="111" t="s">
        <v>509</v>
      </c>
      <c r="AH9" s="33"/>
      <c r="AI9" s="34"/>
      <c r="AJ9" s="7"/>
      <c r="AK9" s="587"/>
      <c r="AL9" s="588"/>
      <c r="AM9" s="8"/>
      <c r="AN9" s="4"/>
      <c r="AO9" s="4"/>
      <c r="AP9" s="4"/>
      <c r="AQ9" s="4"/>
      <c r="AR9" s="2"/>
      <c r="AS9" s="4"/>
      <c r="AT9" s="4"/>
      <c r="AU9" s="4"/>
      <c r="AV9" s="4"/>
      <c r="AW9" s="38"/>
      <c r="AX9" s="38"/>
      <c r="BD9" s="4"/>
      <c r="BE9" s="154">
        <f xml:space="preserve"> ROW() -8</f>
        <v>1</v>
      </c>
      <c r="BF9" s="399">
        <v>1</v>
      </c>
      <c r="BG9" s="89" t="s">
        <v>8</v>
      </c>
      <c r="BH9" s="152" t="s">
        <v>9</v>
      </c>
      <c r="BI9" s="90" t="s">
        <v>9</v>
      </c>
      <c r="BL9" s="154">
        <v>1</v>
      </c>
      <c r="BM9" s="352" t="e">
        <f xml:space="preserve"> MATCH(TEXT(BN9, "0"), $BF$9:$BF$55, 0)</f>
        <v>#N/A</v>
      </c>
      <c r="BN9" s="400" t="str">
        <f t="shared" ref="BN9:BN40" si="1" xml:space="preserve"> MID($BQ$4, $BL9, 1)</f>
        <v>1</v>
      </c>
      <c r="BO9" s="401" t="str">
        <f t="shared" ref="BO9:BO40" si="2" xml:space="preserve"> MID($BQ$5, $BL9, 1)</f>
        <v>1</v>
      </c>
      <c r="BQ9" t="str">
        <f xml:space="preserve"> _xlfn.CONCAT(""", 表格7[@按鍵字元], "": ", 表格7[[#This Row],[注音符號]])</f>
        <v>", 表格7[@按鍵字元], ": ㄅ</v>
      </c>
    </row>
    <row r="10" spans="1:69" s="23" customFormat="1" ht="42.75" customHeight="1">
      <c r="A10" s="3"/>
      <c r="B10" s="3"/>
      <c r="C10" s="2"/>
      <c r="D10" s="2"/>
      <c r="E10" s="581" t="s">
        <v>24</v>
      </c>
      <c r="F10" s="582"/>
      <c r="G10" s="583"/>
      <c r="H10" s="581" t="s">
        <v>25</v>
      </c>
      <c r="I10" s="582"/>
      <c r="J10" s="583"/>
      <c r="K10" s="305" t="s">
        <v>44</v>
      </c>
      <c r="L10" s="301" t="s">
        <v>649</v>
      </c>
      <c r="M10" s="304" t="s">
        <v>45</v>
      </c>
      <c r="N10" s="581" t="s">
        <v>27</v>
      </c>
      <c r="O10" s="582"/>
      <c r="P10" s="583"/>
      <c r="Q10" s="581" t="s">
        <v>28</v>
      </c>
      <c r="R10" s="582"/>
      <c r="S10" s="583"/>
      <c r="T10" s="305" t="s">
        <v>106</v>
      </c>
      <c r="U10" s="301" t="s">
        <v>657</v>
      </c>
      <c r="V10" s="304" t="s">
        <v>97</v>
      </c>
      <c r="W10" s="306" t="s">
        <v>116</v>
      </c>
      <c r="X10" s="302" t="s">
        <v>644</v>
      </c>
      <c r="Y10" s="307" t="s">
        <v>507</v>
      </c>
      <c r="Z10" s="306" t="s">
        <v>108</v>
      </c>
      <c r="AA10" s="302" t="s">
        <v>647</v>
      </c>
      <c r="AB10" s="307" t="s">
        <v>808</v>
      </c>
      <c r="AC10" s="589" t="s">
        <v>32</v>
      </c>
      <c r="AD10" s="590"/>
      <c r="AE10" s="591"/>
      <c r="AF10" s="589" t="s">
        <v>33</v>
      </c>
      <c r="AG10" s="590"/>
      <c r="AH10" s="591"/>
      <c r="AI10" s="589" t="s">
        <v>34</v>
      </c>
      <c r="AJ10" s="590"/>
      <c r="AK10" s="591"/>
      <c r="AL10" s="589" t="s">
        <v>35</v>
      </c>
      <c r="AM10" s="590"/>
      <c r="AN10" s="591"/>
      <c r="AO10" s="584" t="s">
        <v>36</v>
      </c>
      <c r="AP10" s="585"/>
      <c r="AQ10" s="586"/>
      <c r="AR10" s="2"/>
      <c r="AV10" s="2"/>
      <c r="AW10" s="38"/>
      <c r="AX10" s="38"/>
      <c r="AY10"/>
      <c r="AZ10"/>
      <c r="BA10"/>
      <c r="BB10"/>
      <c r="BC10"/>
      <c r="BD10" s="2"/>
      <c r="BE10" s="154">
        <f t="shared" ref="BE10:BE58" si="3" xml:space="preserve"> ROW() -8</f>
        <v>2</v>
      </c>
      <c r="BF10" s="399" t="s">
        <v>805</v>
      </c>
      <c r="BG10" s="89" t="s">
        <v>90</v>
      </c>
      <c r="BH10" s="152" t="s">
        <v>91</v>
      </c>
      <c r="BI10" s="90" t="s">
        <v>91</v>
      </c>
      <c r="BL10" s="154">
        <v>2</v>
      </c>
      <c r="BM10" s="352"/>
      <c r="BN10" s="400" t="str">
        <f t="shared" si="1"/>
        <v>!</v>
      </c>
      <c r="BO10" s="401" t="str">
        <f t="shared" si="2"/>
        <v>!</v>
      </c>
    </row>
    <row r="11" spans="1:69" s="11" customFormat="1" ht="42.75" customHeight="1" thickBot="1">
      <c r="A11"/>
      <c r="B11"/>
      <c r="C11" s="4"/>
      <c r="D11" s="4"/>
      <c r="E11" s="31" t="s">
        <v>37</v>
      </c>
      <c r="F11" s="32"/>
      <c r="G11" s="5" t="s">
        <v>38</v>
      </c>
      <c r="H11" s="31" t="s">
        <v>39</v>
      </c>
      <c r="I11" s="32"/>
      <c r="J11" s="5" t="s">
        <v>40</v>
      </c>
      <c r="K11" s="31" t="s">
        <v>41</v>
      </c>
      <c r="L11" s="32"/>
      <c r="M11" s="108" t="s">
        <v>42</v>
      </c>
      <c r="N11" s="298" t="s">
        <v>114</v>
      </c>
      <c r="O11" s="32" t="s">
        <v>60</v>
      </c>
      <c r="P11" s="107" t="s">
        <v>506</v>
      </c>
      <c r="Q11" s="298" t="s">
        <v>114</v>
      </c>
      <c r="R11" s="32" t="s">
        <v>60</v>
      </c>
      <c r="S11" s="107" t="s">
        <v>506</v>
      </c>
      <c r="T11" s="309" t="s">
        <v>46</v>
      </c>
      <c r="U11" s="32"/>
      <c r="V11" s="108" t="s">
        <v>166</v>
      </c>
      <c r="W11" s="310" t="s">
        <v>48</v>
      </c>
      <c r="X11" s="36" t="s">
        <v>49</v>
      </c>
      <c r="Y11" s="109" t="s">
        <v>49</v>
      </c>
      <c r="Z11" s="308" t="s">
        <v>50</v>
      </c>
      <c r="AA11" s="36" t="s">
        <v>32</v>
      </c>
      <c r="AB11" s="7" t="s">
        <v>51</v>
      </c>
      <c r="AC11" s="308" t="s">
        <v>101</v>
      </c>
      <c r="AD11" s="36" t="s">
        <v>29</v>
      </c>
      <c r="AE11" s="111" t="s">
        <v>515</v>
      </c>
      <c r="AF11" s="308" t="s">
        <v>54</v>
      </c>
      <c r="AG11" s="36" t="s">
        <v>57</v>
      </c>
      <c r="AH11" s="109" t="s">
        <v>232</v>
      </c>
      <c r="AI11" s="587"/>
      <c r="AJ11" s="588"/>
      <c r="AK11" s="8"/>
      <c r="AL11" s="587"/>
      <c r="AM11" s="588"/>
      <c r="AN11" s="8"/>
      <c r="AO11" s="587"/>
      <c r="AP11" s="588"/>
      <c r="AQ11" s="8"/>
      <c r="AR11" s="2"/>
      <c r="AV11" s="4"/>
      <c r="AW11" s="38"/>
      <c r="AX11" s="38"/>
      <c r="AY11"/>
      <c r="AZ11"/>
      <c r="BA11"/>
      <c r="BB11"/>
      <c r="BC11"/>
      <c r="BD11" s="4"/>
      <c r="BE11" s="154">
        <f t="shared" si="3"/>
        <v>3</v>
      </c>
      <c r="BF11" s="399" t="s">
        <v>164</v>
      </c>
      <c r="BG11" s="89" t="s">
        <v>37</v>
      </c>
      <c r="BH11" s="152" t="s">
        <v>38</v>
      </c>
      <c r="BI11" s="90" t="s">
        <v>33</v>
      </c>
      <c r="BL11" s="154">
        <v>3</v>
      </c>
      <c r="BM11" s="352"/>
      <c r="BN11" s="400" t="str">
        <f t="shared" si="1"/>
        <v>q</v>
      </c>
      <c r="BO11" s="401" t="str">
        <f t="shared" si="2"/>
        <v>q</v>
      </c>
    </row>
    <row r="12" spans="1:69" s="11" customFormat="1" ht="42.75" customHeight="1">
      <c r="A12" s="3"/>
      <c r="B12" s="3"/>
      <c r="C12" s="2"/>
      <c r="D12" s="2"/>
      <c r="E12" s="9"/>
      <c r="F12" s="581" t="s">
        <v>210</v>
      </c>
      <c r="G12" s="582"/>
      <c r="H12" s="583"/>
      <c r="I12" s="581" t="s">
        <v>56</v>
      </c>
      <c r="J12" s="582"/>
      <c r="K12" s="583"/>
      <c r="L12" s="581" t="s">
        <v>57</v>
      </c>
      <c r="M12" s="582"/>
      <c r="N12" s="583"/>
      <c r="O12" s="581" t="s">
        <v>58</v>
      </c>
      <c r="P12" s="582"/>
      <c r="Q12" s="583"/>
      <c r="R12" s="581" t="s">
        <v>59</v>
      </c>
      <c r="S12" s="582"/>
      <c r="T12" s="583"/>
      <c r="U12" s="581" t="s">
        <v>60</v>
      </c>
      <c r="V12" s="582"/>
      <c r="W12" s="583"/>
      <c r="X12" s="306" t="s">
        <v>117</v>
      </c>
      <c r="Y12" s="302" t="s">
        <v>645</v>
      </c>
      <c r="Z12" s="307" t="s">
        <v>508</v>
      </c>
      <c r="AA12" s="589" t="s">
        <v>62</v>
      </c>
      <c r="AB12" s="590"/>
      <c r="AC12" s="591"/>
      <c r="AD12" s="306" t="s">
        <v>112</v>
      </c>
      <c r="AE12" s="302" t="s">
        <v>643</v>
      </c>
      <c r="AF12" s="307" t="s">
        <v>811</v>
      </c>
      <c r="AG12" s="589" t="s">
        <v>64</v>
      </c>
      <c r="AH12" s="590"/>
      <c r="AI12" s="591"/>
      <c r="AJ12" s="584" t="s">
        <v>65</v>
      </c>
      <c r="AK12" s="585"/>
      <c r="AL12" s="586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8"/>
      <c r="AX12" s="38"/>
      <c r="AY12"/>
      <c r="AZ12"/>
      <c r="BA12"/>
      <c r="BB12"/>
      <c r="BC12"/>
      <c r="BD12" s="2"/>
      <c r="BE12" s="154">
        <f t="shared" si="3"/>
        <v>4</v>
      </c>
      <c r="BF12" s="399" t="s">
        <v>21</v>
      </c>
      <c r="BG12" s="89" t="s">
        <v>55</v>
      </c>
      <c r="BH12" s="152" t="s">
        <v>66</v>
      </c>
      <c r="BI12" s="90" t="s">
        <v>66</v>
      </c>
      <c r="BL12" s="154">
        <v>4</v>
      </c>
      <c r="BM12" s="352"/>
      <c r="BN12" s="400" t="str">
        <f t="shared" si="1"/>
        <v>a</v>
      </c>
      <c r="BO12" s="401" t="str">
        <f t="shared" si="2"/>
        <v>a</v>
      </c>
    </row>
    <row r="13" spans="1:69" s="11" customFormat="1" ht="42.75" customHeight="1" thickBot="1">
      <c r="A13"/>
      <c r="B13"/>
      <c r="C13" s="4"/>
      <c r="D13" s="4"/>
      <c r="E13" s="4"/>
      <c r="F13" s="31" t="s">
        <v>55</v>
      </c>
      <c r="G13" s="32"/>
      <c r="H13" s="5" t="s">
        <v>66</v>
      </c>
      <c r="I13" s="31" t="s">
        <v>67</v>
      </c>
      <c r="J13" s="32"/>
      <c r="K13" s="5" t="s">
        <v>68</v>
      </c>
      <c r="L13" s="31" t="s">
        <v>69</v>
      </c>
      <c r="M13" s="32"/>
      <c r="N13" s="5" t="s">
        <v>70</v>
      </c>
      <c r="O13" s="298" t="s">
        <v>113</v>
      </c>
      <c r="P13" s="32" t="s">
        <v>85</v>
      </c>
      <c r="Q13" s="107" t="s">
        <v>503</v>
      </c>
      <c r="R13" s="298" t="s">
        <v>113</v>
      </c>
      <c r="S13" s="32" t="s">
        <v>85</v>
      </c>
      <c r="T13" s="107" t="s">
        <v>503</v>
      </c>
      <c r="U13" s="309" t="s">
        <v>74</v>
      </c>
      <c r="V13" s="32"/>
      <c r="W13" s="107" t="s">
        <v>708</v>
      </c>
      <c r="X13" s="308" t="s">
        <v>76</v>
      </c>
      <c r="Y13" s="36" t="s">
        <v>77</v>
      </c>
      <c r="Z13" s="109" t="s">
        <v>77</v>
      </c>
      <c r="AA13" s="308" t="s">
        <v>78</v>
      </c>
      <c r="AB13" s="36" t="s">
        <v>79</v>
      </c>
      <c r="AC13" s="7" t="s">
        <v>79</v>
      </c>
      <c r="AD13" s="308" t="s">
        <v>80</v>
      </c>
      <c r="AE13" s="36" t="s">
        <v>58</v>
      </c>
      <c r="AF13" s="109" t="s">
        <v>375</v>
      </c>
      <c r="AG13" s="308" t="s">
        <v>81</v>
      </c>
      <c r="AH13" s="36" t="s">
        <v>24</v>
      </c>
      <c r="AI13" s="109" t="s">
        <v>512</v>
      </c>
      <c r="AJ13" s="587"/>
      <c r="AK13" s="588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38"/>
      <c r="AX13" s="38"/>
      <c r="AY13"/>
      <c r="AZ13"/>
      <c r="BA13"/>
      <c r="BB13"/>
      <c r="BC13"/>
      <c r="BD13" s="4"/>
      <c r="BE13" s="154">
        <f t="shared" si="3"/>
        <v>5</v>
      </c>
      <c r="BF13" s="399">
        <v>2</v>
      </c>
      <c r="BG13" s="89" t="s">
        <v>10</v>
      </c>
      <c r="BH13" s="152" t="s">
        <v>11</v>
      </c>
      <c r="BI13" s="90" t="s">
        <v>11</v>
      </c>
      <c r="BL13" s="154">
        <v>5</v>
      </c>
      <c r="BM13" s="352"/>
      <c r="BN13" s="400" t="str">
        <f t="shared" si="1"/>
        <v>2</v>
      </c>
      <c r="BO13" s="401" t="str">
        <f t="shared" si="2"/>
        <v>2</v>
      </c>
    </row>
    <row r="14" spans="1:69" s="11" customFormat="1" ht="42.75" customHeight="1">
      <c r="A14" s="3"/>
      <c r="B14" s="3"/>
      <c r="C14" s="2"/>
      <c r="D14" s="2"/>
      <c r="E14" s="2"/>
      <c r="F14" s="2"/>
      <c r="G14" s="581" t="s">
        <v>206</v>
      </c>
      <c r="H14" s="582"/>
      <c r="I14" s="583"/>
      <c r="J14" s="581" t="s">
        <v>82</v>
      </c>
      <c r="K14" s="582"/>
      <c r="L14" s="583"/>
      <c r="M14" s="581" t="s">
        <v>83</v>
      </c>
      <c r="N14" s="582"/>
      <c r="O14" s="583"/>
      <c r="P14" s="581" t="s">
        <v>84</v>
      </c>
      <c r="Q14" s="582"/>
      <c r="R14" s="583"/>
      <c r="S14" s="581" t="s">
        <v>85</v>
      </c>
      <c r="T14" s="582"/>
      <c r="U14" s="583"/>
      <c r="V14" s="581" t="s">
        <v>86</v>
      </c>
      <c r="W14" s="582"/>
      <c r="X14" s="583"/>
      <c r="Y14" s="589" t="s">
        <v>87</v>
      </c>
      <c r="Z14" s="590"/>
      <c r="AA14" s="591"/>
      <c r="AB14" s="306" t="s">
        <v>110</v>
      </c>
      <c r="AC14" s="302" t="s">
        <v>661</v>
      </c>
      <c r="AD14" s="307" t="s">
        <v>809</v>
      </c>
      <c r="AE14" s="589" t="s">
        <v>88</v>
      </c>
      <c r="AF14" s="590"/>
      <c r="AG14" s="591"/>
      <c r="AH14" s="584" t="s">
        <v>89</v>
      </c>
      <c r="AI14" s="585"/>
      <c r="AJ14" s="586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38"/>
      <c r="AX14" s="38"/>
      <c r="AY14"/>
      <c r="AZ14"/>
      <c r="BA14"/>
      <c r="BB14"/>
      <c r="BC14"/>
      <c r="BD14" s="2"/>
      <c r="BE14" s="154">
        <f t="shared" si="3"/>
        <v>6</v>
      </c>
      <c r="BF14" s="399" t="s">
        <v>170</v>
      </c>
      <c r="BG14" s="89" t="s">
        <v>39</v>
      </c>
      <c r="BH14" s="152" t="s">
        <v>40</v>
      </c>
      <c r="BI14" s="90" t="s">
        <v>28</v>
      </c>
      <c r="BL14" s="154">
        <v>6</v>
      </c>
      <c r="BM14" s="352"/>
      <c r="BN14" s="400" t="str">
        <f t="shared" si="1"/>
        <v>w</v>
      </c>
      <c r="BO14" s="401" t="str">
        <f t="shared" si="2"/>
        <v>w</v>
      </c>
    </row>
    <row r="15" spans="1:69" ht="42.75" customHeight="1" thickBot="1">
      <c r="C15" s="4"/>
      <c r="D15" s="4"/>
      <c r="E15" s="4"/>
      <c r="F15" s="4"/>
      <c r="G15" s="31"/>
      <c r="H15" s="32"/>
      <c r="I15" s="107"/>
      <c r="J15" s="31" t="s">
        <v>92</v>
      </c>
      <c r="K15" s="32"/>
      <c r="L15" s="5" t="s">
        <v>93</v>
      </c>
      <c r="M15" s="31" t="s">
        <v>94</v>
      </c>
      <c r="N15" s="32"/>
      <c r="O15" s="5" t="s">
        <v>95</v>
      </c>
      <c r="P15" s="298" t="s">
        <v>72</v>
      </c>
      <c r="Q15" s="32" t="s">
        <v>170</v>
      </c>
      <c r="R15" s="107" t="s">
        <v>73</v>
      </c>
      <c r="S15" s="298" t="s">
        <v>72</v>
      </c>
      <c r="T15" s="32" t="s">
        <v>170</v>
      </c>
      <c r="U15" s="107" t="s">
        <v>73</v>
      </c>
      <c r="V15" s="309" t="s">
        <v>98</v>
      </c>
      <c r="W15" s="32"/>
      <c r="X15" s="5" t="s">
        <v>99</v>
      </c>
      <c r="Y15" s="308" t="s">
        <v>100</v>
      </c>
      <c r="Z15" s="36" t="s">
        <v>87</v>
      </c>
      <c r="AA15" s="110" t="s">
        <v>806</v>
      </c>
      <c r="AB15" s="308" t="s">
        <v>225</v>
      </c>
      <c r="AC15" s="36" t="s">
        <v>53</v>
      </c>
      <c r="AD15" s="109" t="s">
        <v>53</v>
      </c>
      <c r="AE15" s="37"/>
      <c r="AF15" s="35"/>
      <c r="AG15" s="7"/>
      <c r="AH15" s="308" t="s">
        <v>115</v>
      </c>
      <c r="AI15" s="36" t="s">
        <v>25</v>
      </c>
      <c r="AJ15" s="109" t="s">
        <v>217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38"/>
      <c r="AX15" s="38"/>
      <c r="BD15" s="4"/>
      <c r="BE15" s="154">
        <f t="shared" si="3"/>
        <v>7</v>
      </c>
      <c r="BF15" s="399" t="s">
        <v>99</v>
      </c>
      <c r="BG15" s="89" t="s">
        <v>67</v>
      </c>
      <c r="BH15" s="152" t="s">
        <v>68</v>
      </c>
      <c r="BI15" s="90" t="s">
        <v>68</v>
      </c>
      <c r="BL15" s="154">
        <v>7</v>
      </c>
      <c r="BM15" s="352"/>
      <c r="BN15" s="400" t="str">
        <f t="shared" si="1"/>
        <v>s</v>
      </c>
      <c r="BO15" s="401" t="str">
        <f t="shared" si="2"/>
        <v>s</v>
      </c>
    </row>
    <row r="16" spans="1:69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38"/>
      <c r="AX16" s="38"/>
      <c r="AY16"/>
      <c r="AZ16"/>
      <c r="BA16"/>
      <c r="BB16"/>
      <c r="BC16"/>
      <c r="BE16" s="154">
        <f t="shared" si="3"/>
        <v>8</v>
      </c>
      <c r="BF16" s="399" t="s">
        <v>171</v>
      </c>
      <c r="BG16" s="89" t="s">
        <v>92</v>
      </c>
      <c r="BH16" s="152" t="s">
        <v>93</v>
      </c>
      <c r="BI16" s="90" t="s">
        <v>93</v>
      </c>
      <c r="BL16" s="154">
        <v>8</v>
      </c>
      <c r="BM16" s="352"/>
      <c r="BN16" s="400" t="str">
        <f t="shared" si="1"/>
        <v>x</v>
      </c>
      <c r="BO16" s="401" t="str">
        <f t="shared" si="2"/>
        <v>x</v>
      </c>
    </row>
    <row r="17" spans="1:67" s="12" customFormat="1" ht="38.1" customHeight="1">
      <c r="B17" s="121" t="s">
        <v>262</v>
      </c>
      <c r="AW17" s="38"/>
      <c r="AX17" s="38"/>
      <c r="AY17"/>
      <c r="AZ17"/>
      <c r="BA17"/>
      <c r="BB17"/>
      <c r="BC17"/>
      <c r="BD17" s="41"/>
      <c r="BE17" s="154">
        <f t="shared" si="3"/>
        <v>9</v>
      </c>
      <c r="BF17" s="399" t="s">
        <v>53</v>
      </c>
      <c r="BG17" s="89" t="s">
        <v>41</v>
      </c>
      <c r="BH17" s="152" t="s">
        <v>42</v>
      </c>
      <c r="BI17" s="90" t="s">
        <v>42</v>
      </c>
      <c r="BL17" s="154">
        <v>9</v>
      </c>
      <c r="BM17" s="352"/>
      <c r="BN17" s="400" t="str">
        <f t="shared" si="1"/>
        <v>e</v>
      </c>
      <c r="BO17" s="401" t="str">
        <f t="shared" si="2"/>
        <v>e</v>
      </c>
    </row>
    <row r="18" spans="1:67" s="12" customFormat="1" ht="38.1" customHeight="1">
      <c r="B18" s="41" t="s">
        <v>260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12" t="s">
        <v>593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38"/>
      <c r="AX18" s="38"/>
      <c r="AY18"/>
      <c r="AZ18"/>
      <c r="BA18"/>
      <c r="BB18"/>
      <c r="BC18"/>
      <c r="BD18" s="41"/>
      <c r="BE18" s="154">
        <f t="shared" si="3"/>
        <v>10</v>
      </c>
      <c r="BF18" s="399" t="s">
        <v>26</v>
      </c>
      <c r="BG18" s="89" t="s">
        <v>44</v>
      </c>
      <c r="BH18" s="152" t="s">
        <v>45</v>
      </c>
      <c r="BI18" s="90" t="s">
        <v>45</v>
      </c>
      <c r="BL18" s="154">
        <v>10</v>
      </c>
      <c r="BM18" s="352"/>
      <c r="BN18" s="400" t="str">
        <f t="shared" si="1"/>
        <v>E</v>
      </c>
      <c r="BO18" s="401" t="str">
        <f t="shared" si="2"/>
        <v>E</v>
      </c>
    </row>
    <row r="19" spans="1:67" s="12" customFormat="1" ht="38.1" customHeight="1">
      <c r="B19" s="44" t="str">
        <f>B6</f>
        <v>字典編碼</v>
      </c>
      <c r="C19" s="158">
        <f xml:space="preserve"> LEN(D19)</f>
        <v>50</v>
      </c>
      <c r="D19" s="45" t="str">
        <f xml:space="preserve"> _xlfn.CONCAT(D6:BB6)</f>
        <v>pbPmtTnlkgKhwcjCsrfziuMaOoeDWIULQZXRSEVFYHBA123570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/>
      <c r="AI19" s="41"/>
      <c r="AJ19" s="385" t="s">
        <v>191</v>
      </c>
      <c r="AK19" s="386">
        <f>FIND(AJ19, D19)</f>
        <v>1</v>
      </c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38"/>
      <c r="AX19" s="38"/>
      <c r="AY19"/>
      <c r="AZ19"/>
      <c r="BA19"/>
      <c r="BB19"/>
      <c r="BC19"/>
      <c r="BD19" s="41"/>
      <c r="BE19" s="154">
        <f t="shared" si="3"/>
        <v>11</v>
      </c>
      <c r="BF19" s="399" t="s">
        <v>163</v>
      </c>
      <c r="BG19" s="89" t="s">
        <v>69</v>
      </c>
      <c r="BH19" s="152" t="s">
        <v>70</v>
      </c>
      <c r="BI19" s="90" t="s">
        <v>62</v>
      </c>
      <c r="BL19" s="154">
        <v>11</v>
      </c>
      <c r="BM19" s="352"/>
      <c r="BN19" s="400" t="str">
        <f t="shared" si="1"/>
        <v>d</v>
      </c>
      <c r="BO19" s="401" t="str">
        <f t="shared" si="2"/>
        <v>d</v>
      </c>
    </row>
    <row r="20" spans="1:67" s="12" customFormat="1" ht="38.1" customHeight="1">
      <c r="B20" s="51" t="str">
        <f>B3</f>
        <v>按鍵字元</v>
      </c>
      <c r="C20" s="157">
        <f>LEN(D20)</f>
        <v>51</v>
      </c>
      <c r="D20" s="53" t="str">
        <f xml:space="preserve"> _xlfn.CONCAT(D3:BB3)</f>
        <v>1!qa2wsxeEdcvyYhnrRfvujm8ik,p/9l0;UJ*I&lt;(Lrfvz 43657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1"/>
      <c r="AI20" s="41"/>
      <c r="AJ20" s="386" t="str">
        <f xml:space="preserve"> MID(D20,AK19,1)</f>
        <v>1</v>
      </c>
      <c r="AK20" s="387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38"/>
      <c r="AX20" s="38"/>
      <c r="AY20"/>
      <c r="AZ20"/>
      <c r="BA20"/>
      <c r="BB20"/>
      <c r="BC20"/>
      <c r="BD20" s="41"/>
      <c r="BE20" s="154">
        <f t="shared" si="3"/>
        <v>12</v>
      </c>
      <c r="BF20" s="399" t="s">
        <v>166</v>
      </c>
      <c r="BG20" s="89" t="s">
        <v>94</v>
      </c>
      <c r="BH20" s="152" t="s">
        <v>95</v>
      </c>
      <c r="BI20" s="90" t="s">
        <v>95</v>
      </c>
      <c r="BL20" s="154">
        <v>12</v>
      </c>
      <c r="BM20" s="352"/>
      <c r="BN20" s="400" t="str">
        <f t="shared" si="1"/>
        <v>D</v>
      </c>
      <c r="BO20" s="401" t="str">
        <f t="shared" si="2"/>
        <v>D</v>
      </c>
    </row>
    <row r="21" spans="1:67" s="12" customFormat="1" ht="38.1" customHeight="1">
      <c r="B21" s="120" t="str">
        <f xml:space="preserve"> "- xlit|" &amp; D19 &amp; "|" &amp; D20 &amp; "|"</f>
        <v>- xlit|pbPmtTnlkgKhwcjCsrfziuMaOoeDWIULQZXRSEVFYHBA123570|1!qa2wsxeEdcvyYhnrRfvujm8ik,p/9l0;UJ*I&lt;(Lrfvz 43657|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40"/>
      <c r="AF21" s="40"/>
      <c r="AG21" s="40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38"/>
      <c r="AX21" s="38"/>
      <c r="AY21"/>
      <c r="AZ21"/>
      <c r="BA21"/>
      <c r="BB21"/>
      <c r="BC21"/>
      <c r="BD21" s="41"/>
      <c r="BE21" s="154">
        <f t="shared" si="3"/>
        <v>13</v>
      </c>
      <c r="BF21" s="399" t="s">
        <v>174</v>
      </c>
      <c r="BG21" s="89" t="s">
        <v>72</v>
      </c>
      <c r="BH21" s="152" t="s">
        <v>73</v>
      </c>
      <c r="BI21" s="90" t="s">
        <v>170</v>
      </c>
      <c r="BL21" s="154">
        <v>13</v>
      </c>
      <c r="BM21" s="352"/>
      <c r="BN21" s="400" t="str">
        <f t="shared" si="1"/>
        <v>c</v>
      </c>
      <c r="BO21" s="401" t="str">
        <f t="shared" si="2"/>
        <v>c</v>
      </c>
    </row>
    <row r="22" spans="1:67" s="12" customFormat="1" ht="38.1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38"/>
      <c r="AX22" s="38"/>
      <c r="AY22"/>
      <c r="AZ22"/>
      <c r="BA22"/>
      <c r="BB22"/>
      <c r="BC22"/>
      <c r="BD22" s="41"/>
      <c r="BE22" s="154">
        <f t="shared" si="3"/>
        <v>14</v>
      </c>
      <c r="BF22" s="399" t="s">
        <v>175</v>
      </c>
      <c r="BG22" s="89" t="s">
        <v>46</v>
      </c>
      <c r="BH22" s="152" t="s">
        <v>166</v>
      </c>
      <c r="BI22" s="90" t="s">
        <v>166</v>
      </c>
      <c r="BL22" s="154">
        <v>14</v>
      </c>
      <c r="BM22" s="352"/>
      <c r="BN22" s="400" t="str">
        <f t="shared" si="1"/>
        <v>r</v>
      </c>
      <c r="BO22" s="401" t="str">
        <f t="shared" si="2"/>
        <v>r</v>
      </c>
    </row>
    <row r="23" spans="1:67" s="12" customFormat="1" ht="38.1" customHeight="1">
      <c r="B23" s="122" t="s">
        <v>263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38"/>
      <c r="AX23" s="38"/>
      <c r="AY23"/>
      <c r="AZ23"/>
      <c r="BA23"/>
      <c r="BB23"/>
      <c r="BC23"/>
      <c r="BD23" s="41"/>
      <c r="BE23" s="154">
        <f t="shared" si="3"/>
        <v>15</v>
      </c>
      <c r="BF23" s="399" t="s">
        <v>29</v>
      </c>
      <c r="BG23" s="89" t="s">
        <v>106</v>
      </c>
      <c r="BH23" s="152" t="s">
        <v>97</v>
      </c>
      <c r="BI23" s="90" t="s">
        <v>97</v>
      </c>
      <c r="BL23" s="154">
        <v>15</v>
      </c>
      <c r="BM23" s="352"/>
      <c r="BN23" s="400" t="str">
        <f t="shared" si="1"/>
        <v>R</v>
      </c>
      <c r="BO23" s="401" t="str">
        <f t="shared" si="2"/>
        <v>R</v>
      </c>
    </row>
    <row r="24" spans="1:67" s="12" customFormat="1" ht="38.1" customHeight="1">
      <c r="B24" s="41" t="s">
        <v>261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2" t="s">
        <v>597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38"/>
      <c r="AX24" s="38"/>
      <c r="AY24"/>
      <c r="AZ24"/>
      <c r="BA24"/>
      <c r="BB24"/>
      <c r="BC24"/>
      <c r="BD24" s="41"/>
      <c r="BE24" s="154">
        <f t="shared" si="3"/>
        <v>16</v>
      </c>
      <c r="BF24" s="399" t="s">
        <v>95</v>
      </c>
      <c r="BG24" s="89" t="s">
        <v>74</v>
      </c>
      <c r="BH24" s="152" t="s">
        <v>708</v>
      </c>
      <c r="BI24" s="90" t="s">
        <v>83</v>
      </c>
      <c r="BL24" s="154">
        <v>16</v>
      </c>
      <c r="BM24" s="352"/>
      <c r="BN24" s="400" t="str">
        <f t="shared" si="1"/>
        <v>f</v>
      </c>
      <c r="BO24" s="401" t="str">
        <f t="shared" si="2"/>
        <v>f</v>
      </c>
    </row>
    <row r="25" spans="1:67" ht="38.1" customHeight="1">
      <c r="A25" s="12"/>
      <c r="B25" s="54" t="str">
        <f>B3</f>
        <v>按鍵字元</v>
      </c>
      <c r="C25" s="159">
        <f xml:space="preserve"> LEN(D25)</f>
        <v>50</v>
      </c>
      <c r="D25" s="52" t="str">
        <f xml:space="preserve"> _xlfn.CONCAT(D3:AV3, AX3:BB3)</f>
        <v>1!qa2wsxeEdcvyYhnrRfvujm8ik,p/9l0;UJ*I&lt;(Lrfvz43657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38"/>
      <c r="AX25" s="38"/>
      <c r="BD25" s="41"/>
      <c r="BE25" s="154">
        <f t="shared" si="3"/>
        <v>17</v>
      </c>
      <c r="BF25" s="399" t="s">
        <v>68</v>
      </c>
      <c r="BG25" s="89" t="s">
        <v>98</v>
      </c>
      <c r="BH25" s="152" t="s">
        <v>99</v>
      </c>
      <c r="BI25" s="90" t="s">
        <v>99</v>
      </c>
      <c r="BL25" s="154">
        <v>17</v>
      </c>
      <c r="BM25" s="352"/>
      <c r="BN25" s="400" t="str">
        <f t="shared" si="1"/>
        <v>v</v>
      </c>
      <c r="BO25" s="401" t="str">
        <f t="shared" si="2"/>
        <v>v</v>
      </c>
    </row>
    <row r="26" spans="1:67" ht="38.1" customHeight="1">
      <c r="B26" s="46" t="str">
        <f>B4</f>
        <v>注音符號</v>
      </c>
      <c r="C26" s="160">
        <f>LEN(D26)</f>
        <v>50</v>
      </c>
      <c r="D26" s="46" t="str">
        <f xml:space="preserve"> _xlfn.CONCAT(D4:AV4, AX4:BB4)</f>
        <v>ㄅㆠㄆㄇㄉㄊㄋㄌㄍㆣㄎㄏㄫㄗㆡㄘㄙㄐㆢㄑㄒㄧㄨㆬㄚㆦㄜㄝㄣㄥㄞㄠㄢㄤㆪㆫㆩㆧㆥㆮㆯㆲㆱㆰ声ˋ˪ˊ˫．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38"/>
      <c r="AX26" s="38"/>
      <c r="BD26" s="41"/>
      <c r="BE26" s="154">
        <f t="shared" si="3"/>
        <v>18</v>
      </c>
      <c r="BF26" s="399" t="s">
        <v>77</v>
      </c>
      <c r="BG26" s="89" t="s">
        <v>48</v>
      </c>
      <c r="BH26" s="152" t="s">
        <v>49</v>
      </c>
      <c r="BI26" s="90" t="s">
        <v>49</v>
      </c>
      <c r="BL26" s="154">
        <v>18</v>
      </c>
      <c r="BM26" s="352"/>
      <c r="BN26" s="400" t="str">
        <f t="shared" si="1"/>
        <v>y</v>
      </c>
      <c r="BO26" s="401" t="str">
        <f t="shared" si="2"/>
        <v>y</v>
      </c>
    </row>
    <row r="27" spans="1:67" ht="38.1" customHeight="1">
      <c r="B27" s="120" t="str">
        <f xml:space="preserve"> "- xlit|" &amp; D25 &amp; "|" &amp; D26 &amp; "|"</f>
        <v>- xlit|1!qa2wsxeEdcvyYhnrRfvujm8ik,p/9l0;UJ*I&lt;(Lrfvz43657|ㄅㆠㄆㄇㄉㄊㄋㄌㄍㆣㄎㄏㄫㄗㆡㄘㄙㄐㆢㄑㄒㄧㄨㆬㄚㆦㄜㄝㄣㄥㄞㄠㄢㄤㆪㆫㆩㆧㆥㆮㆯㆲㆱㆰ声ˋ˪ˊ˫．|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0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38"/>
      <c r="AX27" s="38"/>
      <c r="BD27" s="41"/>
      <c r="BE27" s="154">
        <f t="shared" si="3"/>
        <v>19</v>
      </c>
      <c r="BF27" s="399" t="s">
        <v>97</v>
      </c>
      <c r="BG27" s="89" t="s">
        <v>76</v>
      </c>
      <c r="BH27" s="152" t="s">
        <v>77</v>
      </c>
      <c r="BI27" s="90" t="s">
        <v>77</v>
      </c>
      <c r="BL27" s="154">
        <v>19</v>
      </c>
      <c r="BM27" s="352"/>
      <c r="BN27" s="400" t="str">
        <f t="shared" si="1"/>
        <v>Y</v>
      </c>
      <c r="BO27" s="401" t="str">
        <f t="shared" si="2"/>
        <v>Y</v>
      </c>
    </row>
    <row r="28" spans="1:67" ht="38.1" customHeight="1">
      <c r="B28" s="119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38"/>
      <c r="AX28" s="38"/>
      <c r="BD28" s="41"/>
      <c r="BE28" s="154">
        <f t="shared" si="3"/>
        <v>20</v>
      </c>
      <c r="BF28" s="399" t="s">
        <v>66</v>
      </c>
      <c r="BG28" s="89" t="s">
        <v>100</v>
      </c>
      <c r="BH28" s="152" t="s">
        <v>806</v>
      </c>
      <c r="BI28" s="90" t="s">
        <v>87</v>
      </c>
      <c r="BL28" s="154">
        <v>20</v>
      </c>
      <c r="BM28" s="352"/>
      <c r="BN28" s="400" t="str">
        <f t="shared" si="1"/>
        <v>h</v>
      </c>
      <c r="BO28" s="401" t="str">
        <f t="shared" si="2"/>
        <v>h</v>
      </c>
    </row>
    <row r="29" spans="1:67" ht="38.1" customHeight="1">
      <c r="B29" s="122" t="s">
        <v>355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38"/>
      <c r="AX29" s="38"/>
      <c r="BD29" s="41"/>
      <c r="BE29" s="154">
        <f t="shared" si="3"/>
        <v>21</v>
      </c>
      <c r="BF29" s="399">
        <v>8</v>
      </c>
      <c r="BG29" s="89" t="s">
        <v>20</v>
      </c>
      <c r="BH29" s="152" t="s">
        <v>21</v>
      </c>
      <c r="BI29" s="90" t="s">
        <v>21</v>
      </c>
      <c r="BL29" s="154">
        <v>21</v>
      </c>
      <c r="BM29" s="352"/>
      <c r="BN29" s="400" t="str">
        <f t="shared" si="1"/>
        <v>n</v>
      </c>
      <c r="BO29" s="401" t="str">
        <f t="shared" si="2"/>
        <v>n</v>
      </c>
    </row>
    <row r="30" spans="1:67" ht="38.1" customHeight="1">
      <c r="B30" s="41" t="s">
        <v>264</v>
      </c>
      <c r="C30" s="41"/>
      <c r="D30" s="41"/>
      <c r="E30" s="41"/>
      <c r="F30" s="41"/>
      <c r="G30" s="41"/>
      <c r="H30" s="41"/>
      <c r="I30" s="41"/>
      <c r="J30" s="212" t="s">
        <v>596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154">
        <f t="shared" si="3"/>
        <v>22</v>
      </c>
      <c r="BF30" s="399" t="s">
        <v>49</v>
      </c>
      <c r="BG30" s="89" t="s">
        <v>50</v>
      </c>
      <c r="BH30" s="152" t="s">
        <v>51</v>
      </c>
      <c r="BI30" s="90" t="s">
        <v>32</v>
      </c>
      <c r="BL30" s="154">
        <v>22</v>
      </c>
      <c r="BM30" s="352"/>
      <c r="BN30" s="400" t="str">
        <f t="shared" si="1"/>
        <v>8</v>
      </c>
      <c r="BO30" s="401" t="str">
        <f t="shared" si="2"/>
        <v>8</v>
      </c>
    </row>
    <row r="31" spans="1:67" ht="38.1" customHeight="1">
      <c r="B31" s="54" t="str">
        <f>B6</f>
        <v>字典編碼</v>
      </c>
      <c r="C31" s="159">
        <f xml:space="preserve"> LEN(D31)</f>
        <v>43</v>
      </c>
      <c r="D31" s="52" t="str">
        <f xml:space="preserve"> _xlfn.CONCAT(D6:AU6)</f>
        <v>pbPmtTnlkgKhwcjCsrfziuMaOoeDWIULQZXRSEVFYHB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154">
        <f t="shared" si="3"/>
        <v>23</v>
      </c>
      <c r="BF31" s="399" t="s">
        <v>42</v>
      </c>
      <c r="BG31" s="89" t="s">
        <v>78</v>
      </c>
      <c r="BH31" s="152" t="s">
        <v>79</v>
      </c>
      <c r="BI31" s="90" t="s">
        <v>79</v>
      </c>
      <c r="BL31" s="154">
        <v>23</v>
      </c>
      <c r="BM31" s="352"/>
      <c r="BN31" s="400" t="str">
        <f t="shared" si="1"/>
        <v>*</v>
      </c>
      <c r="BO31" s="401" t="str">
        <f t="shared" si="2"/>
        <v>*</v>
      </c>
    </row>
    <row r="32" spans="1:67" s="12" customFormat="1" ht="38.1" customHeight="1">
      <c r="A32"/>
      <c r="B32" s="46" t="str">
        <f>B4</f>
        <v>注音符號</v>
      </c>
      <c r="C32" s="160">
        <f>LEN(D32)</f>
        <v>44</v>
      </c>
      <c r="D32" s="46" t="str">
        <f xml:space="preserve"> _xlfn.CONCAT(D4:AU4)</f>
        <v>ㄅㆠㄆㄇㄉㄊㄋㄌㄍㆣㄎㄏㄫㄗㆡㄘㄙㄐㆢㄑㄒㄧㄨㆬㄚㆦㄜㄝㄣㄥㄞㄠㄢㄤㆪㆫㆩㆧㆥㆮㆯㆲㆱㆰ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154">
        <f t="shared" si="3"/>
        <v>24</v>
      </c>
      <c r="BF32" s="399" t="s">
        <v>180</v>
      </c>
      <c r="BG32" s="89" t="s">
        <v>225</v>
      </c>
      <c r="BH32" s="152" t="s">
        <v>53</v>
      </c>
      <c r="BI32" s="90" t="s">
        <v>53</v>
      </c>
      <c r="BL32" s="154">
        <v>24</v>
      </c>
      <c r="BM32" s="352"/>
      <c r="BN32" s="400" t="str">
        <f t="shared" si="1"/>
        <v>i</v>
      </c>
      <c r="BO32" s="401" t="str">
        <f t="shared" si="2"/>
        <v>i</v>
      </c>
    </row>
    <row r="33" spans="1:67" s="12" customFormat="1" ht="38.1" customHeight="1">
      <c r="B33" s="120" t="str">
        <f xml:space="preserve"> "- xlit|" &amp; D31 &amp; "|" &amp; D32 &amp; "|"</f>
        <v>- xlit|pbPmtTnlkgKhwcjCsrfziuMaOoeDWIULQZXRSEVFYHB|ㄅㆠㄆㄇㄉㄊㄋㄌㄍㆣㄎㄏㄫㄗㆡㄘㄙㄐㆢㄑㄒㄧㄨㆬㄚㆦㄜㄝㄣㄥㄞㄠㄢㄤㆪㆫㆩㆧㆥㆮㆯㆲㆱㆰ|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154">
        <f t="shared" si="3"/>
        <v>25</v>
      </c>
      <c r="BF33" s="399" t="s">
        <v>9</v>
      </c>
      <c r="BG33" s="89" t="s">
        <v>54</v>
      </c>
      <c r="BH33" s="152" t="s">
        <v>232</v>
      </c>
      <c r="BI33" s="90" t="s">
        <v>57</v>
      </c>
      <c r="BL33" s="154">
        <v>25</v>
      </c>
      <c r="BM33" s="352"/>
      <c r="BN33" s="400" t="str">
        <f t="shared" si="1"/>
        <v>I</v>
      </c>
      <c r="BO33" s="401" t="str">
        <f t="shared" si="2"/>
        <v>I</v>
      </c>
    </row>
    <row r="34" spans="1:67" s="12" customFormat="1" ht="38.1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3"/>
      <c r="BE34" s="154">
        <f t="shared" si="3"/>
        <v>26</v>
      </c>
      <c r="BF34" s="399" t="s">
        <v>184</v>
      </c>
      <c r="BG34" s="89" t="s">
        <v>115</v>
      </c>
      <c r="BH34" s="152" t="s">
        <v>217</v>
      </c>
      <c r="BI34" s="90" t="s">
        <v>25</v>
      </c>
      <c r="BL34" s="154">
        <v>26</v>
      </c>
      <c r="BM34" s="352"/>
      <c r="BN34" s="400" t="str">
        <f t="shared" si="1"/>
        <v>k</v>
      </c>
      <c r="BO34" s="401" t="str">
        <f t="shared" si="2"/>
        <v>k</v>
      </c>
    </row>
    <row r="35" spans="1:67" s="12" customFormat="1" ht="38.1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154">
        <f t="shared" si="3"/>
        <v>27</v>
      </c>
      <c r="BF35" s="399">
        <v>9</v>
      </c>
      <c r="BG35" s="89" t="s">
        <v>22</v>
      </c>
      <c r="BH35" s="152" t="s">
        <v>372</v>
      </c>
      <c r="BI35" s="90" t="s">
        <v>31</v>
      </c>
      <c r="BL35" s="154">
        <v>27</v>
      </c>
      <c r="BM35" s="352"/>
      <c r="BN35" s="400" t="str">
        <f t="shared" si="1"/>
        <v>o</v>
      </c>
      <c r="BO35" s="401" t="str">
        <f t="shared" si="2"/>
        <v>o</v>
      </c>
    </row>
    <row r="36" spans="1:67" s="12" customFormat="1" ht="38.1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154">
        <f t="shared" si="3"/>
        <v>28</v>
      </c>
      <c r="BF36" s="399" t="s">
        <v>93</v>
      </c>
      <c r="BG36" s="89" t="s">
        <v>80</v>
      </c>
      <c r="BH36" s="152" t="s">
        <v>375</v>
      </c>
      <c r="BI36" s="90" t="s">
        <v>30</v>
      </c>
      <c r="BL36" s="154">
        <v>28</v>
      </c>
      <c r="BM36" s="352"/>
      <c r="BN36" s="400" t="str">
        <f t="shared" si="1"/>
        <v>O</v>
      </c>
      <c r="BO36" s="401" t="str">
        <f t="shared" si="2"/>
        <v>O</v>
      </c>
    </row>
    <row r="37" spans="1:67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154">
        <f t="shared" si="3"/>
        <v>29</v>
      </c>
      <c r="BF37" s="399">
        <v>0</v>
      </c>
      <c r="BG37" s="89" t="s">
        <v>23</v>
      </c>
      <c r="BH37" s="152" t="s">
        <v>509</v>
      </c>
      <c r="BI37" s="90" t="s">
        <v>63</v>
      </c>
      <c r="BL37" s="154">
        <v>29</v>
      </c>
      <c r="BM37" s="352"/>
      <c r="BN37" s="400" t="str">
        <f t="shared" si="1"/>
        <v>9</v>
      </c>
      <c r="BO37" s="401" t="str">
        <f t="shared" si="2"/>
        <v>9</v>
      </c>
    </row>
    <row r="38" spans="1:67" s="12" customFormat="1" ht="38.1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154">
        <f t="shared" si="3"/>
        <v>30</v>
      </c>
      <c r="BF38" s="399" t="s">
        <v>183</v>
      </c>
      <c r="BG38" s="89" t="s">
        <v>81</v>
      </c>
      <c r="BH38" s="152" t="s">
        <v>512</v>
      </c>
      <c r="BI38" s="90" t="s">
        <v>24</v>
      </c>
      <c r="BL38" s="154">
        <v>30</v>
      </c>
      <c r="BM38" s="352"/>
      <c r="BN38" s="400" t="str">
        <f t="shared" si="1"/>
        <v>(</v>
      </c>
      <c r="BO38" s="401" t="str">
        <f t="shared" si="2"/>
        <v>(</v>
      </c>
    </row>
    <row r="39" spans="1:67" s="12" customFormat="1" ht="38.1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154">
        <f t="shared" si="3"/>
        <v>31</v>
      </c>
      <c r="BF39" s="399" t="s">
        <v>30</v>
      </c>
      <c r="BG39" s="89" t="s">
        <v>116</v>
      </c>
      <c r="BH39" s="152" t="s">
        <v>507</v>
      </c>
      <c r="BI39" s="90" t="s">
        <v>707</v>
      </c>
      <c r="BL39" s="154">
        <v>31</v>
      </c>
      <c r="BM39" s="352"/>
      <c r="BN39" s="400" t="str">
        <f t="shared" si="1"/>
        <v>l</v>
      </c>
      <c r="BO39" s="401" t="str">
        <f t="shared" si="2"/>
        <v>l</v>
      </c>
    </row>
    <row r="40" spans="1:67" s="12" customFormat="1" ht="38.1" customHeight="1"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154">
        <f t="shared" si="3"/>
        <v>32</v>
      </c>
      <c r="BF40" s="399" t="s">
        <v>61</v>
      </c>
      <c r="BG40" s="89" t="s">
        <v>117</v>
      </c>
      <c r="BH40" s="152" t="s">
        <v>508</v>
      </c>
      <c r="BI40" s="90" t="s">
        <v>82</v>
      </c>
      <c r="BL40" s="154">
        <v>32</v>
      </c>
      <c r="BM40" s="352"/>
      <c r="BN40" s="400" t="str">
        <f t="shared" si="1"/>
        <v>L</v>
      </c>
      <c r="BO40" s="401" t="str">
        <f t="shared" si="2"/>
        <v>L</v>
      </c>
    </row>
    <row r="41" spans="1:67" ht="38.1" customHeight="1">
      <c r="A41" s="1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154">
        <f t="shared" si="3"/>
        <v>33</v>
      </c>
      <c r="BF41" s="399" t="s">
        <v>177</v>
      </c>
      <c r="BG41" s="89" t="s">
        <v>107</v>
      </c>
      <c r="BH41" s="152" t="s">
        <v>509</v>
      </c>
      <c r="BI41" s="90" t="s">
        <v>27</v>
      </c>
      <c r="BL41" s="154">
        <v>33</v>
      </c>
      <c r="BM41" s="352"/>
      <c r="BN41" s="400" t="str">
        <f t="shared" ref="BN41:BN63" si="4" xml:space="preserve"> MID($BQ$4, $BL41, 1)</f>
        <v>,</v>
      </c>
      <c r="BO41" s="401" t="str">
        <f t="shared" ref="BO41:BO63" si="5" xml:space="preserve"> MID($BQ$5, $BL41, 1)</f>
        <v>,</v>
      </c>
    </row>
    <row r="42" spans="1:67" ht="38.1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154">
        <f t="shared" si="3"/>
        <v>34</v>
      </c>
      <c r="BF42" s="399" t="s">
        <v>31</v>
      </c>
      <c r="BG42" s="89" t="s">
        <v>108</v>
      </c>
      <c r="BH42" s="152" t="s">
        <v>808</v>
      </c>
      <c r="BI42" s="90" t="s">
        <v>56</v>
      </c>
      <c r="BL42" s="154">
        <v>34</v>
      </c>
      <c r="BM42" s="352"/>
      <c r="BN42" s="400" t="str">
        <f t="shared" si="4"/>
        <v>&lt;</v>
      </c>
      <c r="BO42" s="401" t="str">
        <f t="shared" si="5"/>
        <v>&lt;</v>
      </c>
    </row>
    <row r="43" spans="1:67" ht="38.1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154">
        <f t="shared" si="3"/>
        <v>35</v>
      </c>
      <c r="BF43" s="399" t="s">
        <v>181</v>
      </c>
      <c r="BG43" s="89" t="s">
        <v>110</v>
      </c>
      <c r="BH43" s="152" t="s">
        <v>809</v>
      </c>
      <c r="BI43" s="90" t="s">
        <v>26</v>
      </c>
      <c r="BL43" s="154">
        <v>35</v>
      </c>
      <c r="BM43" s="352"/>
      <c r="BN43" s="400" t="str">
        <f t="shared" si="4"/>
        <v>m</v>
      </c>
      <c r="BO43" s="401" t="str">
        <f t="shared" si="5"/>
        <v>m</v>
      </c>
    </row>
    <row r="44" spans="1:67" ht="38.1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154">
        <f t="shared" si="3"/>
        <v>36</v>
      </c>
      <c r="BF44" s="399" t="s">
        <v>179</v>
      </c>
      <c r="BG44" s="89" t="s">
        <v>111</v>
      </c>
      <c r="BH44" s="152" t="s">
        <v>810</v>
      </c>
      <c r="BI44" s="90" t="s">
        <v>84</v>
      </c>
      <c r="BL44" s="154">
        <v>36</v>
      </c>
      <c r="BM44" s="352"/>
      <c r="BN44" s="400" t="str">
        <f t="shared" si="4"/>
        <v>0</v>
      </c>
      <c r="BO44" s="401" t="str">
        <f t="shared" si="5"/>
        <v>0</v>
      </c>
    </row>
    <row r="45" spans="1:67" ht="38.1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154">
        <f t="shared" si="3"/>
        <v>37</v>
      </c>
      <c r="BF45" s="399" t="s">
        <v>63</v>
      </c>
      <c r="BG45" s="89" t="s">
        <v>112</v>
      </c>
      <c r="BH45" s="152" t="s">
        <v>811</v>
      </c>
      <c r="BI45" s="90" t="s">
        <v>58</v>
      </c>
      <c r="BL45" s="154">
        <v>37</v>
      </c>
      <c r="BM45" s="352"/>
      <c r="BN45" s="400" t="str">
        <f t="shared" si="4"/>
        <v>p</v>
      </c>
      <c r="BO45" s="401" t="str">
        <f t="shared" si="5"/>
        <v>p</v>
      </c>
    </row>
    <row r="46" spans="1:67" ht="38.1" customHeight="1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154">
        <f t="shared" si="3"/>
        <v>38</v>
      </c>
      <c r="BF46" s="399" t="s">
        <v>172</v>
      </c>
      <c r="BG46" s="89" t="s">
        <v>101</v>
      </c>
      <c r="BH46" s="152" t="s">
        <v>515</v>
      </c>
      <c r="BI46" s="90" t="s">
        <v>29</v>
      </c>
      <c r="BL46" s="154">
        <v>38</v>
      </c>
      <c r="BM46" s="352"/>
      <c r="BN46" s="400" t="str">
        <f t="shared" si="4"/>
        <v>;</v>
      </c>
      <c r="BO46" s="401" t="str">
        <f t="shared" si="5"/>
        <v>;</v>
      </c>
    </row>
    <row r="47" spans="1:67" ht="38.1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154">
        <f t="shared" si="3"/>
        <v>39</v>
      </c>
      <c r="BF47" s="399" t="s">
        <v>173</v>
      </c>
      <c r="BG47" s="89" t="s">
        <v>114</v>
      </c>
      <c r="BH47" s="152" t="s">
        <v>506</v>
      </c>
      <c r="BI47" s="90" t="s">
        <v>60</v>
      </c>
      <c r="BL47" s="154">
        <v>39</v>
      </c>
      <c r="BM47" s="352"/>
      <c r="BN47" s="400" t="str">
        <f t="shared" si="4"/>
        <v>:</v>
      </c>
      <c r="BO47" s="401" t="str">
        <f t="shared" si="5"/>
        <v>:</v>
      </c>
    </row>
    <row r="48" spans="1:67" ht="38.1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154">
        <f t="shared" si="3"/>
        <v>40</v>
      </c>
      <c r="BF48" s="399" t="s">
        <v>174</v>
      </c>
      <c r="BG48" s="89" t="s">
        <v>113</v>
      </c>
      <c r="BH48" s="152" t="s">
        <v>503</v>
      </c>
      <c r="BI48" s="90" t="s">
        <v>85</v>
      </c>
      <c r="BL48" s="154">
        <v>40</v>
      </c>
      <c r="BM48" s="352"/>
      <c r="BN48" s="400" t="str">
        <f t="shared" si="4"/>
        <v>/</v>
      </c>
      <c r="BO48" s="401" t="str">
        <f t="shared" si="5"/>
        <v>/</v>
      </c>
    </row>
    <row r="49" spans="2:67" ht="38.1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154">
        <f t="shared" si="3"/>
        <v>41</v>
      </c>
      <c r="BF49" s="399" t="s">
        <v>834</v>
      </c>
      <c r="BG49" s="89" t="s">
        <v>813</v>
      </c>
      <c r="BH49" s="152" t="s">
        <v>814</v>
      </c>
      <c r="BI49" s="90" t="s">
        <v>709</v>
      </c>
      <c r="BL49" s="154">
        <v>41</v>
      </c>
      <c r="BM49" s="352"/>
      <c r="BN49" s="400" t="str">
        <f t="shared" si="4"/>
        <v>-</v>
      </c>
      <c r="BO49" s="401" t="str">
        <f t="shared" si="5"/>
        <v>-</v>
      </c>
    </row>
    <row r="50" spans="2:67" ht="38.1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154">
        <f t="shared" si="3"/>
        <v>42</v>
      </c>
      <c r="BF50" s="399" t="s">
        <v>118</v>
      </c>
      <c r="BG50" s="89" t="s">
        <v>710</v>
      </c>
      <c r="BH50" s="152">
        <v>1</v>
      </c>
      <c r="BI50" s="90">
        <v>1</v>
      </c>
      <c r="BL50" s="154">
        <v>42</v>
      </c>
      <c r="BM50" s="352"/>
      <c r="BN50" s="400" t="str">
        <f t="shared" si="4"/>
        <v>u</v>
      </c>
      <c r="BO50" s="401" t="str">
        <f t="shared" si="5"/>
        <v>u</v>
      </c>
    </row>
    <row r="51" spans="2:67" ht="3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154">
        <f t="shared" si="3"/>
        <v>43</v>
      </c>
      <c r="BF51" s="399">
        <v>4</v>
      </c>
      <c r="BG51" s="89" t="s">
        <v>14</v>
      </c>
      <c r="BH51" s="152">
        <v>2</v>
      </c>
      <c r="BI51" s="90">
        <v>2</v>
      </c>
      <c r="BL51" s="154">
        <v>43</v>
      </c>
      <c r="BM51" s="352"/>
      <c r="BN51" s="400" t="str">
        <f t="shared" si="4"/>
        <v>U</v>
      </c>
      <c r="BO51" s="401" t="str">
        <f t="shared" si="5"/>
        <v>U</v>
      </c>
    </row>
    <row r="52" spans="2:67" ht="38.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154">
        <f t="shared" si="3"/>
        <v>44</v>
      </c>
      <c r="BF52" s="399">
        <v>3</v>
      </c>
      <c r="BG52" s="89" t="s">
        <v>12</v>
      </c>
      <c r="BH52" s="152">
        <v>3</v>
      </c>
      <c r="BI52" s="90">
        <v>3</v>
      </c>
      <c r="BL52" s="154">
        <v>44</v>
      </c>
      <c r="BM52" s="352"/>
      <c r="BN52" s="400" t="str">
        <f t="shared" si="4"/>
        <v>j</v>
      </c>
      <c r="BO52" s="401" t="str">
        <f t="shared" si="5"/>
        <v>j</v>
      </c>
    </row>
    <row r="53" spans="2:67" ht="38.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154">
        <f t="shared" si="3"/>
        <v>45</v>
      </c>
      <c r="BF53" s="399">
        <v>6</v>
      </c>
      <c r="BG53" s="89" t="s">
        <v>18</v>
      </c>
      <c r="BH53" s="152">
        <v>5</v>
      </c>
      <c r="BI53" s="90">
        <v>5</v>
      </c>
      <c r="BL53" s="154">
        <v>45</v>
      </c>
      <c r="BM53" s="352"/>
      <c r="BN53" s="400" t="str">
        <f t="shared" si="4"/>
        <v>J</v>
      </c>
      <c r="BO53" s="401" t="str">
        <f t="shared" si="5"/>
        <v>J</v>
      </c>
    </row>
    <row r="54" spans="2:67" ht="38.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154">
        <f t="shared" si="3"/>
        <v>46</v>
      </c>
      <c r="BF54" s="399">
        <v>5</v>
      </c>
      <c r="BG54" s="89" t="s">
        <v>16</v>
      </c>
      <c r="BH54" s="152">
        <v>7</v>
      </c>
      <c r="BI54" s="90">
        <v>7</v>
      </c>
      <c r="BL54" s="154">
        <v>46</v>
      </c>
      <c r="BM54" s="352"/>
      <c r="BN54" s="400" t="str">
        <f t="shared" si="4"/>
        <v xml:space="preserve"> </v>
      </c>
      <c r="BO54" s="401" t="str">
        <f t="shared" si="5"/>
        <v>4</v>
      </c>
    </row>
    <row r="55" spans="2:67" ht="38.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154">
        <f t="shared" si="3"/>
        <v>47</v>
      </c>
      <c r="BF55" s="399">
        <v>7</v>
      </c>
      <c r="BG55" s="89" t="s">
        <v>812</v>
      </c>
      <c r="BH55" s="152">
        <v>8</v>
      </c>
      <c r="BI55" s="90">
        <v>0</v>
      </c>
      <c r="BL55" s="154">
        <v>47</v>
      </c>
      <c r="BM55" s="352"/>
      <c r="BN55" s="400" t="str">
        <f t="shared" si="4"/>
        <v>4</v>
      </c>
      <c r="BO55" s="401" t="str">
        <f t="shared" si="5"/>
        <v>3</v>
      </c>
    </row>
    <row r="56" spans="2:67" ht="34.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154">
        <f t="shared" si="3"/>
        <v>48</v>
      </c>
      <c r="BF56" s="399"/>
      <c r="BG56" s="89"/>
      <c r="BH56" s="152"/>
      <c r="BI56" s="90"/>
      <c r="BL56" s="154">
        <v>48</v>
      </c>
      <c r="BM56" s="352"/>
      <c r="BN56" s="400" t="str">
        <f t="shared" si="4"/>
        <v>3</v>
      </c>
      <c r="BO56" s="401" t="str">
        <f t="shared" si="5"/>
        <v>b</v>
      </c>
    </row>
    <row r="57" spans="2:67" ht="34.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154">
        <f t="shared" si="3"/>
        <v>49</v>
      </c>
      <c r="BF57" s="399"/>
      <c r="BG57" s="89"/>
      <c r="BH57" s="152"/>
      <c r="BI57" s="90"/>
      <c r="BL57" s="154">
        <v>49</v>
      </c>
      <c r="BM57" s="352"/>
      <c r="BN57" s="400" t="str">
        <f t="shared" si="4"/>
        <v>b</v>
      </c>
      <c r="BO57" s="401" t="str">
        <f t="shared" si="5"/>
        <v>t</v>
      </c>
    </row>
    <row r="58" spans="2:67" ht="34.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154">
        <f t="shared" si="3"/>
        <v>50</v>
      </c>
      <c r="BF58" s="399"/>
      <c r="BG58" s="89"/>
      <c r="BH58" s="152"/>
      <c r="BI58" s="90"/>
      <c r="BL58" s="154">
        <v>50</v>
      </c>
      <c r="BM58" s="352"/>
      <c r="BN58" s="400" t="str">
        <f t="shared" si="4"/>
        <v>t</v>
      </c>
      <c r="BO58" s="401" t="str">
        <f t="shared" si="5"/>
        <v>g</v>
      </c>
    </row>
    <row r="59" spans="2:67" ht="34.5"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L59" s="154">
        <v>51</v>
      </c>
      <c r="BM59" s="352"/>
      <c r="BN59" s="400" t="str">
        <f t="shared" si="4"/>
        <v>g</v>
      </c>
      <c r="BO59" s="401" t="str">
        <f t="shared" si="5"/>
        <v>z</v>
      </c>
    </row>
    <row r="60" spans="2:67" ht="34.5">
      <c r="BL60" s="154">
        <v>52</v>
      </c>
      <c r="BM60" s="352"/>
      <c r="BN60" s="400" t="str">
        <f t="shared" si="4"/>
        <v>z</v>
      </c>
      <c r="BO60" s="401" t="str">
        <f t="shared" si="5"/>
        <v>6</v>
      </c>
    </row>
    <row r="61" spans="2:67" ht="34.5">
      <c r="BL61" s="154">
        <v>53</v>
      </c>
      <c r="BM61" s="352"/>
      <c r="BN61" s="400" t="str">
        <f t="shared" si="4"/>
        <v>6</v>
      </c>
      <c r="BO61" s="401" t="str">
        <f t="shared" si="5"/>
        <v>5</v>
      </c>
    </row>
    <row r="62" spans="2:67" ht="34.5">
      <c r="BL62" s="154">
        <v>54</v>
      </c>
      <c r="BM62" s="352"/>
      <c r="BN62" s="400" t="str">
        <f t="shared" si="4"/>
        <v>5</v>
      </c>
      <c r="BO62" s="401" t="str">
        <f t="shared" si="5"/>
        <v>7</v>
      </c>
    </row>
    <row r="63" spans="2:67" ht="34.5">
      <c r="BL63" s="154">
        <v>55</v>
      </c>
      <c r="BM63" s="352"/>
      <c r="BN63" s="400" t="str">
        <f t="shared" si="4"/>
        <v>7</v>
      </c>
      <c r="BO63" s="401" t="str">
        <f t="shared" si="5"/>
        <v/>
      </c>
    </row>
  </sheetData>
  <mergeCells count="46"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  <mergeCell ref="U12:W12"/>
    <mergeCell ref="AI11:AJ11"/>
    <mergeCell ref="AA12:AC12"/>
    <mergeCell ref="AG12:AI12"/>
    <mergeCell ref="AJ12:AL12"/>
    <mergeCell ref="F12:H12"/>
    <mergeCell ref="I12:K12"/>
    <mergeCell ref="L12:N12"/>
    <mergeCell ref="O12:Q12"/>
    <mergeCell ref="R12:T12"/>
    <mergeCell ref="AF10:AH10"/>
    <mergeCell ref="AI10:AK10"/>
    <mergeCell ref="AL10:AN10"/>
    <mergeCell ref="AO10:AQ10"/>
    <mergeCell ref="AL11:AM11"/>
    <mergeCell ref="AO11:AP11"/>
    <mergeCell ref="E10:G10"/>
    <mergeCell ref="H10:J10"/>
    <mergeCell ref="N10:P10"/>
    <mergeCell ref="Q10:S10"/>
    <mergeCell ref="AC10:AE10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G8:I8"/>
    <mergeCell ref="J8:L8"/>
    <mergeCell ref="M8:O8"/>
    <mergeCell ref="P8:R8"/>
    <mergeCell ref="AH8:AJ8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4213-8EF7-48F8-A0E0-64CE5E91A1D5}">
  <sheetPr>
    <tabColor rgb="FFFF0000"/>
  </sheetPr>
  <dimension ref="A1:AB74"/>
  <sheetViews>
    <sheetView topLeftCell="A31" workbookViewId="0">
      <selection activeCell="Z3" sqref="Z3:AB44"/>
    </sheetView>
  </sheetViews>
  <sheetFormatPr defaultRowHeight="30" outlineLevelCol="1"/>
  <cols>
    <col min="1" max="1" width="99.19921875" style="161" customWidth="1"/>
    <col min="2" max="2" width="4.59765625" style="161" bestFit="1" customWidth="1"/>
    <col min="3" max="3" width="6.5" style="161" customWidth="1"/>
    <col min="4" max="4" width="5.09765625" style="161" customWidth="1"/>
    <col min="5" max="5" width="4.69921875" style="161" customWidth="1" outlineLevel="1"/>
    <col min="6" max="7" width="10.09765625" style="163" customWidth="1" outlineLevel="1"/>
    <col min="8" max="8" width="5.09765625" style="161" customWidth="1"/>
    <col min="9" max="9" width="4.69921875" style="161" customWidth="1"/>
    <col min="10" max="10" width="10.09765625" style="162" customWidth="1"/>
    <col min="11" max="11" width="10.09765625" style="163" customWidth="1"/>
    <col min="12" max="12" width="5.09765625" style="161" hidden="1" customWidth="1" outlineLevel="1"/>
    <col min="13" max="13" width="4.69921875" style="161" hidden="1" customWidth="1" outlineLevel="1"/>
    <col min="14" max="14" width="10.09765625" style="161" hidden="1" customWidth="1" outlineLevel="1"/>
    <col min="15" max="15" width="10.09765625" style="164" hidden="1" customWidth="1" outlineLevel="1"/>
    <col min="16" max="16" width="4.5" style="161" customWidth="1" collapsed="1"/>
    <col min="17" max="17" width="4.69921875" style="161" customWidth="1"/>
    <col min="18" max="20" width="9.796875" style="161" customWidth="1"/>
    <col min="21" max="22" width="9.796875" style="161" hidden="1" customWidth="1" outlineLevel="1"/>
    <col min="23" max="23" width="10.3984375" style="161" customWidth="1" collapsed="1"/>
    <col min="24" max="24" width="10.3984375" style="161" customWidth="1"/>
    <col min="25" max="25" width="9.796875" style="161" customWidth="1"/>
    <col min="26" max="26" width="9.796875" customWidth="1"/>
    <col min="27" max="27" width="11.796875" style="161" customWidth="1"/>
    <col min="28" max="28" width="10.3984375" style="161" customWidth="1"/>
    <col min="29" max="16384" width="8.796875" style="161"/>
  </cols>
  <sheetData>
    <row r="1" spans="1:28">
      <c r="A1" s="219" t="s">
        <v>524</v>
      </c>
      <c r="E1" s="219" t="s">
        <v>521</v>
      </c>
      <c r="I1" s="219" t="s">
        <v>523</v>
      </c>
      <c r="M1" s="219" t="s">
        <v>522</v>
      </c>
      <c r="Q1" s="220" t="s">
        <v>602</v>
      </c>
      <c r="Z1" s="161"/>
    </row>
    <row r="2" spans="1:28" ht="25.5">
      <c r="A2" s="215" t="str">
        <f xml:space="preserve"> "- 'xlit|" &amp; A6 &amp; "|" &amp; A7 &amp; "|'"</f>
        <v>- 'xlit|pbPmtTnlkgKGhZJCSzjcsaAOQoeEyYxX{}M@N[]RriIuU1239&gt;&lt;4570|1!qa2wsxeEdDcrRfvyYhn8*iIkoO9(lL,&lt;m0p;:/-uUjJ 43btgz657|'</v>
      </c>
      <c r="F2" s="165" t="s">
        <v>601</v>
      </c>
      <c r="G2" s="166" t="s">
        <v>527</v>
      </c>
      <c r="J2" s="165" t="s">
        <v>527</v>
      </c>
      <c r="K2" s="166" t="s">
        <v>528</v>
      </c>
      <c r="N2" s="165" t="s">
        <v>601</v>
      </c>
      <c r="O2" s="166" t="s">
        <v>529</v>
      </c>
      <c r="R2" s="169" t="s">
        <v>353</v>
      </c>
      <c r="S2" s="169" t="s">
        <v>603</v>
      </c>
      <c r="T2" s="169" t="s">
        <v>292</v>
      </c>
      <c r="U2" s="169" t="s">
        <v>909</v>
      </c>
      <c r="V2" s="169" t="s">
        <v>910</v>
      </c>
      <c r="X2" s="222" t="s">
        <v>911</v>
      </c>
      <c r="Z2" s="221" t="s">
        <v>292</v>
      </c>
      <c r="AA2" s="221" t="s">
        <v>290</v>
      </c>
      <c r="AB2" s="222" t="s">
        <v>279</v>
      </c>
    </row>
    <row r="3" spans="1:28">
      <c r="A3" s="161">
        <f xml:space="preserve"> SEARCH("|",$A$2,1)</f>
        <v>8</v>
      </c>
      <c r="E3" s="161">
        <v>1</v>
      </c>
      <c r="F3" s="172" t="s">
        <v>9</v>
      </c>
      <c r="G3" s="173" t="s">
        <v>168</v>
      </c>
      <c r="I3" s="161">
        <v>1</v>
      </c>
      <c r="J3" s="511" t="s">
        <v>168</v>
      </c>
      <c r="K3" s="176" t="s">
        <v>8</v>
      </c>
      <c r="M3" s="161">
        <v>1</v>
      </c>
      <c r="N3" s="175" t="str">
        <f t="shared" ref="N3:N44" si="0" xml:space="preserve"> IFERROR( MID($A$21, $E3, 1), "")</f>
        <v>-</v>
      </c>
      <c r="O3" s="175" t="str">
        <f t="shared" ref="O3:O44" si="1" xml:space="preserve"> IFERROR( MID($A$22, $E3, 1), "")</f>
        <v>8</v>
      </c>
      <c r="Q3" s="161">
        <v>1</v>
      </c>
      <c r="R3" s="164" t="str">
        <f>G3</f>
        <v>1</v>
      </c>
      <c r="S3" s="178" t="str">
        <f t="shared" ref="S3:S47" si="2">F3</f>
        <v>p</v>
      </c>
      <c r="T3" s="512" t="s">
        <v>8</v>
      </c>
      <c r="U3" s="512">
        <f xml:space="preserve"> MATCH( "" &amp; 表格1_3374[[#This Row],[鍵盤位置]], $J$3:$J$57, 0)</f>
        <v>1</v>
      </c>
      <c r="V3" s="512" t="str" cm="1">
        <f t="array" ref="V3" xml:space="preserve"> INDEX($K$3:$K$57, 表格1_3374[[#This Row],[欄1]])</f>
        <v>ㄅ</v>
      </c>
      <c r="X3" s="517" t="str">
        <f xml:space="preserve"> """" &amp; R3 &amp; """: " &amp; T3</f>
        <v>"1": ㄅ</v>
      </c>
      <c r="Z3" s="223" t="str">
        <f xml:space="preserve"> INDEX($K$3:$K$44, MATCH(表格1_3374[[#This Row],[鍵盤位置]], $J$3:$J$44,0))</f>
        <v>ㄅ</v>
      </c>
      <c r="AA3" s="224" t="s">
        <v>9</v>
      </c>
      <c r="AB3" s="225" t="s">
        <v>310</v>
      </c>
    </row>
    <row r="4" spans="1:28">
      <c r="A4" s="161">
        <f xml:space="preserve"> SEARCH("|",$A$2,A3+1)</f>
        <v>64</v>
      </c>
      <c r="E4" s="161">
        <v>2</v>
      </c>
      <c r="F4" s="181" t="s">
        <v>91</v>
      </c>
      <c r="G4" s="182" t="s">
        <v>805</v>
      </c>
      <c r="I4" s="161">
        <v>2</v>
      </c>
      <c r="J4" s="511" t="s">
        <v>805</v>
      </c>
      <c r="K4" s="176" t="s">
        <v>90</v>
      </c>
      <c r="M4" s="161">
        <v>2</v>
      </c>
      <c r="N4" s="175" t="str">
        <f t="shared" si="0"/>
        <v xml:space="preserve"> </v>
      </c>
      <c r="O4" s="175" t="str">
        <f t="shared" si="1"/>
        <v/>
      </c>
      <c r="Q4" s="161">
        <v>2</v>
      </c>
      <c r="R4" s="164" t="str">
        <f t="shared" ref="R4:R47" si="3">G4</f>
        <v>!</v>
      </c>
      <c r="S4" s="178" t="str">
        <f t="shared" si="2"/>
        <v>b</v>
      </c>
      <c r="T4" s="512" t="s">
        <v>90</v>
      </c>
      <c r="U4" s="512">
        <f xml:space="preserve"> MATCH( "" &amp; 表格1_3374[[#This Row],[鍵盤位置]], $J$3:$J$57, 0)</f>
        <v>2</v>
      </c>
      <c r="V4" s="512" t="str" cm="1">
        <f t="array" ref="V4" xml:space="preserve"> INDEX($K$3:$K$57, 表格1_3374[[#This Row],[欄1]])</f>
        <v>ㆠ</v>
      </c>
      <c r="X4" s="517" t="str">
        <f t="shared" ref="X4:X47" si="4" xml:space="preserve"> """" &amp; R4 &amp; """: " &amp; T4</f>
        <v>"!": ㆠ</v>
      </c>
      <c r="Z4" s="223" t="str">
        <f xml:space="preserve"> INDEX($K$3:$K$44, MATCH(表格1_3374[[#This Row],[鍵盤位置]], $J$3:$J$44,0))</f>
        <v>ㆠ</v>
      </c>
      <c r="AA4" s="224" t="s">
        <v>38</v>
      </c>
      <c r="AB4" s="225" t="s">
        <v>309</v>
      </c>
    </row>
    <row r="5" spans="1:28">
      <c r="A5" s="161">
        <f xml:space="preserve"> SEARCH("|",$A$2,A4+1)</f>
        <v>120</v>
      </c>
      <c r="E5" s="161">
        <v>3</v>
      </c>
      <c r="F5" s="181" t="s">
        <v>33</v>
      </c>
      <c r="G5" s="182" t="s">
        <v>164</v>
      </c>
      <c r="I5" s="161">
        <v>3</v>
      </c>
      <c r="J5" s="511" t="s">
        <v>164</v>
      </c>
      <c r="K5" s="176" t="s">
        <v>37</v>
      </c>
      <c r="M5" s="161">
        <v>3</v>
      </c>
      <c r="N5" s="175" t="str">
        <f t="shared" si="0"/>
        <v>'</v>
      </c>
      <c r="O5" s="175" t="str">
        <f t="shared" si="1"/>
        <v/>
      </c>
      <c r="Q5" s="161">
        <v>3</v>
      </c>
      <c r="R5" s="164" t="str">
        <f t="shared" si="3"/>
        <v>q</v>
      </c>
      <c r="S5" s="178" t="str">
        <f t="shared" si="2"/>
        <v>P</v>
      </c>
      <c r="T5" s="512" t="s">
        <v>37</v>
      </c>
      <c r="U5" s="512">
        <f xml:space="preserve"> MATCH( "" &amp; 表格1_3374[[#This Row],[鍵盤位置]], $J$3:$J$57, 0)</f>
        <v>3</v>
      </c>
      <c r="V5" s="512" t="str" cm="1">
        <f t="array" ref="V5" xml:space="preserve"> INDEX($K$3:$K$57, 表格1_3374[[#This Row],[欄1]])</f>
        <v>ㄆ</v>
      </c>
      <c r="X5" s="517" t="str">
        <f t="shared" si="4"/>
        <v>"q": ㄆ</v>
      </c>
      <c r="Z5" s="223" t="str">
        <f xml:space="preserve"> INDEX($K$3:$K$44, MATCH(表格1_3374[[#This Row],[鍵盤位置]], $J$3:$J$44,0))</f>
        <v>ㄆ</v>
      </c>
      <c r="AA5" s="224" t="s">
        <v>66</v>
      </c>
      <c r="AB5" s="225" t="s">
        <v>307</v>
      </c>
    </row>
    <row r="6" spans="1:28">
      <c r="A6" s="216" t="str">
        <f xml:space="preserve"> _xlfn.CONCAT(F3:F57)</f>
        <v>pbPmtTnlkgKGhZJCSzjcsaAOQoeEyYxX{}M@N[]RriIuU1239&gt;&lt;4570</v>
      </c>
      <c r="B6" s="217">
        <f xml:space="preserve"> LEN(A6)</f>
        <v>55</v>
      </c>
      <c r="E6" s="161">
        <v>4</v>
      </c>
      <c r="F6" s="186" t="s">
        <v>66</v>
      </c>
      <c r="G6" s="187" t="s">
        <v>21</v>
      </c>
      <c r="I6" s="161">
        <v>4</v>
      </c>
      <c r="J6" s="511" t="s">
        <v>21</v>
      </c>
      <c r="K6" s="176" t="s">
        <v>55</v>
      </c>
      <c r="M6" s="161">
        <v>4</v>
      </c>
      <c r="N6" s="175" t="str">
        <f t="shared" si="0"/>
        <v>x</v>
      </c>
      <c r="O6" s="175" t="str">
        <f t="shared" si="1"/>
        <v/>
      </c>
      <c r="Q6" s="161">
        <v>4</v>
      </c>
      <c r="R6" s="164" t="str">
        <f t="shared" si="3"/>
        <v>a</v>
      </c>
      <c r="S6" s="178" t="str">
        <f t="shared" si="2"/>
        <v>m</v>
      </c>
      <c r="T6" s="512" t="s">
        <v>55</v>
      </c>
      <c r="U6" s="512">
        <f xml:space="preserve"> MATCH( "" &amp; 表格1_3374[[#This Row],[鍵盤位置]], $J$3:$J$57, 0)</f>
        <v>4</v>
      </c>
      <c r="V6" s="512" t="str" cm="1">
        <f t="array" ref="V6" xml:space="preserve"> INDEX($K$3:$K$57, 表格1_3374[[#This Row],[欄1]])</f>
        <v>ㄇ</v>
      </c>
      <c r="X6" s="517" t="str">
        <f t="shared" si="4"/>
        <v>"a": ㄇ</v>
      </c>
      <c r="Z6" s="223" t="str">
        <f xml:space="preserve"> INDEX($K$3:$K$44, MATCH(表格1_3374[[#This Row],[鍵盤位置]], $J$3:$J$44,0))</f>
        <v>ㄇ</v>
      </c>
      <c r="AA6" s="224" t="s">
        <v>91</v>
      </c>
      <c r="AB6" s="225" t="s">
        <v>308</v>
      </c>
    </row>
    <row r="7" spans="1:28">
      <c r="A7" s="216" t="str">
        <f>_xlfn.CONCAT(G3:G57)</f>
        <v>1!qa2wsxeEdDcrRfvyYhn8*iIkoO9(lL,&lt;m0p;:/-uUjJ 43btgz657</v>
      </c>
      <c r="B7" s="217">
        <f xml:space="preserve"> LEN(A7)</f>
        <v>55</v>
      </c>
      <c r="E7" s="161">
        <v>5</v>
      </c>
      <c r="F7" s="181" t="s">
        <v>11</v>
      </c>
      <c r="G7" s="182" t="s">
        <v>169</v>
      </c>
      <c r="I7" s="161">
        <v>5</v>
      </c>
      <c r="J7" s="511" t="s">
        <v>169</v>
      </c>
      <c r="K7" s="176" t="s">
        <v>10</v>
      </c>
      <c r="M7" s="161">
        <v>5</v>
      </c>
      <c r="N7" s="175" t="str">
        <f t="shared" si="0"/>
        <v>l</v>
      </c>
      <c r="O7" s="175" t="str">
        <f t="shared" si="1"/>
        <v/>
      </c>
      <c r="Q7" s="161">
        <v>5</v>
      </c>
      <c r="R7" s="164" t="str">
        <f t="shared" si="3"/>
        <v>2</v>
      </c>
      <c r="S7" s="178" t="str">
        <f t="shared" si="2"/>
        <v>t</v>
      </c>
      <c r="T7" s="512" t="s">
        <v>10</v>
      </c>
      <c r="U7" s="512">
        <f xml:space="preserve"> MATCH( "" &amp; 表格1_3374[[#This Row],[鍵盤位置]], $J$3:$J$57, 0)</f>
        <v>5</v>
      </c>
      <c r="V7" s="512" t="str" cm="1">
        <f t="array" ref="V7" xml:space="preserve"> INDEX($K$3:$K$57, 表格1_3374[[#This Row],[欄1]])</f>
        <v>ㄉ</v>
      </c>
      <c r="X7" s="517" t="str">
        <f t="shared" si="4"/>
        <v>"2": ㄉ</v>
      </c>
      <c r="Z7" s="223" t="str">
        <f xml:space="preserve"> INDEX($K$3:$K$44, MATCH(表格1_3374[[#This Row],[鍵盤位置]], $J$3:$J$44,0))</f>
        <v>ㄉ</v>
      </c>
      <c r="AA7" s="224" t="s">
        <v>11</v>
      </c>
      <c r="AB7" s="225" t="s">
        <v>306</v>
      </c>
    </row>
    <row r="8" spans="1:28">
      <c r="E8" s="161">
        <v>6</v>
      </c>
      <c r="F8" s="181" t="s">
        <v>28</v>
      </c>
      <c r="G8" s="182" t="s">
        <v>170</v>
      </c>
      <c r="I8" s="161">
        <v>6</v>
      </c>
      <c r="J8" s="511" t="s">
        <v>170</v>
      </c>
      <c r="K8" s="176" t="s">
        <v>39</v>
      </c>
      <c r="M8" s="161">
        <v>6</v>
      </c>
      <c r="N8" s="175" t="str">
        <f t="shared" si="0"/>
        <v>i</v>
      </c>
      <c r="O8" s="175" t="str">
        <f t="shared" si="1"/>
        <v/>
      </c>
      <c r="Q8" s="161">
        <v>6</v>
      </c>
      <c r="R8" s="164" t="str">
        <f t="shared" si="3"/>
        <v>w</v>
      </c>
      <c r="S8" s="178" t="str">
        <f t="shared" si="2"/>
        <v>T</v>
      </c>
      <c r="T8" s="512" t="s">
        <v>39</v>
      </c>
      <c r="U8" s="512">
        <f xml:space="preserve"> MATCH( "" &amp; 表格1_3374[[#This Row],[鍵盤位置]], $J$3:$J$57, 0)</f>
        <v>6</v>
      </c>
      <c r="V8" s="512" t="str" cm="1">
        <f t="array" ref="V8" xml:space="preserve"> INDEX($K$3:$K$57, 表格1_3374[[#This Row],[欄1]])</f>
        <v>ㄊ</v>
      </c>
      <c r="X8" s="517" t="str">
        <f t="shared" si="4"/>
        <v>"w": ㄊ</v>
      </c>
      <c r="Z8" s="223" t="str">
        <f xml:space="preserve"> INDEX($K$3:$K$44, MATCH(表格1_3374[[#This Row],[鍵盤位置]], $J$3:$J$44,0))</f>
        <v>ㄊ</v>
      </c>
      <c r="AA8" s="224" t="s">
        <v>40</v>
      </c>
      <c r="AB8" s="225" t="s">
        <v>305</v>
      </c>
    </row>
    <row r="9" spans="1:28">
      <c r="E9" s="161">
        <v>7</v>
      </c>
      <c r="F9" s="181" t="s">
        <v>68</v>
      </c>
      <c r="G9" s="182" t="s">
        <v>99</v>
      </c>
      <c r="I9" s="161">
        <v>7</v>
      </c>
      <c r="J9" s="511" t="s">
        <v>99</v>
      </c>
      <c r="K9" s="176" t="s">
        <v>67</v>
      </c>
      <c r="M9" s="161">
        <v>7</v>
      </c>
      <c r="N9" s="175" t="str">
        <f t="shared" si="0"/>
        <v>t</v>
      </c>
      <c r="O9" s="175" t="str">
        <f t="shared" si="1"/>
        <v/>
      </c>
      <c r="Q9" s="161">
        <v>7</v>
      </c>
      <c r="R9" s="164" t="str">
        <f t="shared" si="3"/>
        <v>s</v>
      </c>
      <c r="S9" s="178" t="str">
        <f t="shared" si="2"/>
        <v>n</v>
      </c>
      <c r="T9" s="512" t="s">
        <v>67</v>
      </c>
      <c r="U9" s="512">
        <f xml:space="preserve"> MATCH( "" &amp; 表格1_3374[[#This Row],[鍵盤位置]], $J$3:$J$57, 0)</f>
        <v>7</v>
      </c>
      <c r="V9" s="512" t="str" cm="1">
        <f t="array" ref="V9" xml:space="preserve"> INDEX($K$3:$K$57, 表格1_3374[[#This Row],[欄1]])</f>
        <v>ㄋ</v>
      </c>
      <c r="X9" s="517" t="str">
        <f t="shared" si="4"/>
        <v>"s": ㄋ</v>
      </c>
      <c r="Z9" s="223" t="str">
        <f xml:space="preserve"> INDEX($K$3:$K$44, MATCH(表格1_3374[[#This Row],[鍵盤位置]], $J$3:$J$44,0))</f>
        <v>ㄋ</v>
      </c>
      <c r="AA9" s="224" t="s">
        <v>68</v>
      </c>
      <c r="AB9" s="225" t="s">
        <v>304</v>
      </c>
    </row>
    <row r="10" spans="1:28">
      <c r="A10" s="219" t="s">
        <v>523</v>
      </c>
      <c r="E10" s="161">
        <v>8</v>
      </c>
      <c r="F10" s="191" t="s">
        <v>93</v>
      </c>
      <c r="G10" s="192" t="s">
        <v>171</v>
      </c>
      <c r="I10" s="161">
        <v>8</v>
      </c>
      <c r="J10" s="511" t="s">
        <v>171</v>
      </c>
      <c r="K10" s="176" t="s">
        <v>92</v>
      </c>
      <c r="M10" s="161">
        <v>8</v>
      </c>
      <c r="N10" s="175" t="str">
        <f t="shared" si="0"/>
        <v>|</v>
      </c>
      <c r="O10" s="175" t="str">
        <f t="shared" si="1"/>
        <v/>
      </c>
      <c r="Q10" s="161">
        <v>8</v>
      </c>
      <c r="R10" s="164" t="str">
        <f t="shared" si="3"/>
        <v>x</v>
      </c>
      <c r="S10" s="178" t="str">
        <f t="shared" si="2"/>
        <v>l</v>
      </c>
      <c r="T10" s="512" t="s">
        <v>92</v>
      </c>
      <c r="U10" s="512">
        <f xml:space="preserve"> MATCH( "" &amp; 表格1_3374[[#This Row],[鍵盤位置]], $J$3:$J$57, 0)</f>
        <v>8</v>
      </c>
      <c r="V10" s="512" t="str" cm="1">
        <f t="array" ref="V10" xml:space="preserve"> INDEX($K$3:$K$57, 表格1_3374[[#This Row],[欄1]])</f>
        <v>ㄌ</v>
      </c>
      <c r="X10" s="517" t="str">
        <f t="shared" si="4"/>
        <v>"x": ㄌ</v>
      </c>
      <c r="Z10" s="223" t="str">
        <f xml:space="preserve"> INDEX($K$3:$K$44, MATCH(表格1_3374[[#This Row],[鍵盤位置]], $J$3:$J$44,0))</f>
        <v>ㄌ</v>
      </c>
      <c r="AA10" s="224" t="s">
        <v>93</v>
      </c>
      <c r="AB10" s="225" t="s">
        <v>303</v>
      </c>
    </row>
    <row r="11" spans="1:28">
      <c r="A11" s="215" t="str">
        <f xml:space="preserve"> "- 'xlit|" &amp; A15 &amp; "|" &amp; A16 &amp; "|'"</f>
        <v>- 'xlit|1!qa2wsxeEdDcrRfvyYhn8*iIkoO9(lL,&lt;m0p;:/-uUjJ 43btgz657|ㄅㆠㄆㄇㄉㄊㄋㄌㄍㆣㄎㄫㄏㄐㆢㄑㄒㄗㆡㄘㄙㄚㆩㆦㆧㄜㆤㆥㄞㆮㄠㆯㆰㆱㆬㄢㄣㄤㆲㄥㆭㄧㆪㄨㆫ ˋ˪ㆴㆵㆻㆷˊ˫˙|'</v>
      </c>
      <c r="E11" s="161">
        <v>9</v>
      </c>
      <c r="F11" s="172" t="s">
        <v>42</v>
      </c>
      <c r="G11" s="173" t="s">
        <v>53</v>
      </c>
      <c r="I11" s="161">
        <v>9</v>
      </c>
      <c r="J11" s="511" t="s">
        <v>53</v>
      </c>
      <c r="K11" s="176" t="s">
        <v>41</v>
      </c>
      <c r="M11" s="161">
        <v>9</v>
      </c>
      <c r="N11" s="175" t="str">
        <f t="shared" si="0"/>
        <v>p</v>
      </c>
      <c r="O11" s="175" t="str">
        <f t="shared" si="1"/>
        <v/>
      </c>
      <c r="Q11" s="161">
        <v>9</v>
      </c>
      <c r="R11" s="164" t="str">
        <f t="shared" si="3"/>
        <v>e</v>
      </c>
      <c r="S11" s="178" t="str">
        <f t="shared" si="2"/>
        <v>k</v>
      </c>
      <c r="T11" s="512" t="s">
        <v>41</v>
      </c>
      <c r="U11" s="512">
        <f xml:space="preserve"> MATCH( "" &amp; 表格1_3374[[#This Row],[鍵盤位置]], $J$3:$J$57, 0)</f>
        <v>9</v>
      </c>
      <c r="V11" s="512" t="str" cm="1">
        <f t="array" ref="V11" xml:space="preserve"> INDEX($K$3:$K$57, 表格1_3374[[#This Row],[欄1]])</f>
        <v>ㄍ</v>
      </c>
      <c r="X11" s="517" t="str">
        <f t="shared" si="4"/>
        <v>"e": ㄍ</v>
      </c>
      <c r="Z11" s="223" t="str">
        <f xml:space="preserve"> INDEX($K$3:$K$44, MATCH(表格1_3374[[#This Row],[鍵盤位置]], $J$3:$J$44,0))</f>
        <v>ㄍ</v>
      </c>
      <c r="AA11" s="224" t="s">
        <v>42</v>
      </c>
      <c r="AB11" s="225" t="s">
        <v>302</v>
      </c>
    </row>
    <row r="12" spans="1:28">
      <c r="A12" s="161">
        <f xml:space="preserve"> SEARCH("|",$A$11,1)</f>
        <v>8</v>
      </c>
      <c r="E12" s="161">
        <v>10</v>
      </c>
      <c r="F12" s="181" t="s">
        <v>45</v>
      </c>
      <c r="G12" s="182" t="s">
        <v>26</v>
      </c>
      <c r="I12" s="161">
        <v>10</v>
      </c>
      <c r="J12" s="511" t="s">
        <v>26</v>
      </c>
      <c r="K12" s="176" t="s">
        <v>44</v>
      </c>
      <c r="M12" s="161">
        <v>10</v>
      </c>
      <c r="N12" s="175" t="str">
        <f t="shared" si="0"/>
        <v>b</v>
      </c>
      <c r="O12" s="175" t="str">
        <f t="shared" si="1"/>
        <v/>
      </c>
      <c r="Q12" s="161">
        <v>10</v>
      </c>
      <c r="R12" s="164" t="str">
        <f t="shared" si="3"/>
        <v>E</v>
      </c>
      <c r="S12" s="178" t="str">
        <f t="shared" si="2"/>
        <v>g</v>
      </c>
      <c r="T12" s="512" t="s">
        <v>44</v>
      </c>
      <c r="U12" s="515">
        <f xml:space="preserve"> MATCH( "" &amp; 表格1_3374[[#This Row],[鍵盤位置]], $J$3:$J$57, 0)</f>
        <v>9</v>
      </c>
      <c r="V12" s="515" t="str" cm="1">
        <f t="array" ref="V12" xml:space="preserve"> INDEX($K$3:$K$57, 表格1_3374[[#This Row],[欄1]])</f>
        <v>ㄍ</v>
      </c>
      <c r="X12" s="517" t="str">
        <f t="shared" si="4"/>
        <v>"E": ㆣ</v>
      </c>
      <c r="Z12" s="223" t="str">
        <f xml:space="preserve"> INDEX($K$3:$K$44, MATCH(表格1_3374[[#This Row],[鍵盤位置]], $J$3:$J$44,0))</f>
        <v>ㄍ</v>
      </c>
      <c r="AA12" s="224" t="s">
        <v>70</v>
      </c>
      <c r="AB12" s="225" t="s">
        <v>301</v>
      </c>
    </row>
    <row r="13" spans="1:28">
      <c r="A13" s="161">
        <f xml:space="preserve"> SEARCH("|",$A$11,A12+1)</f>
        <v>64</v>
      </c>
      <c r="E13" s="161">
        <v>11</v>
      </c>
      <c r="F13" s="191" t="s">
        <v>62</v>
      </c>
      <c r="G13" s="192" t="s">
        <v>163</v>
      </c>
      <c r="I13" s="161">
        <v>11</v>
      </c>
      <c r="J13" s="511" t="s">
        <v>163</v>
      </c>
      <c r="K13" s="176" t="s">
        <v>69</v>
      </c>
      <c r="M13" s="161">
        <v>11</v>
      </c>
      <c r="N13" s="175" t="str">
        <f t="shared" si="0"/>
        <v>P</v>
      </c>
      <c r="O13" s="175" t="str">
        <f t="shared" si="1"/>
        <v/>
      </c>
      <c r="Q13" s="161">
        <v>11</v>
      </c>
      <c r="R13" s="164" t="str">
        <f t="shared" si="3"/>
        <v>d</v>
      </c>
      <c r="S13" s="178" t="str">
        <f t="shared" si="2"/>
        <v>K</v>
      </c>
      <c r="T13" s="512" t="s">
        <v>69</v>
      </c>
      <c r="U13" s="512">
        <f xml:space="preserve"> MATCH( "" &amp; 表格1_3374[[#This Row],[鍵盤位置]], $J$3:$J$57, 0)</f>
        <v>11</v>
      </c>
      <c r="V13" s="512" t="str" cm="1">
        <f t="array" ref="V13" xml:space="preserve"> INDEX($K$3:$K$57, 表格1_3374[[#This Row],[欄1]])</f>
        <v>ㄎ</v>
      </c>
      <c r="X13" s="517" t="str">
        <f t="shared" si="4"/>
        <v>"d": ㄎ</v>
      </c>
      <c r="Z13" s="223" t="str">
        <f xml:space="preserve"> INDEX($K$3:$K$44, MATCH(表格1_3374[[#This Row],[鍵盤位置]], $J$3:$J$44,0))</f>
        <v>ㄎ</v>
      </c>
      <c r="AA13" s="224" t="s">
        <v>95</v>
      </c>
      <c r="AB13" s="225" t="s">
        <v>298</v>
      </c>
    </row>
    <row r="14" spans="1:28">
      <c r="A14" s="161">
        <f xml:space="preserve"> SEARCH("|",$A$11,A13+1)</f>
        <v>120</v>
      </c>
      <c r="E14" s="161">
        <v>12</v>
      </c>
      <c r="F14" s="172" t="s">
        <v>59</v>
      </c>
      <c r="G14" s="173" t="s">
        <v>57</v>
      </c>
      <c r="I14" s="161">
        <v>12</v>
      </c>
      <c r="J14" s="511" t="s">
        <v>57</v>
      </c>
      <c r="K14" s="514" t="s">
        <v>72</v>
      </c>
      <c r="M14" s="161">
        <v>12</v>
      </c>
      <c r="N14" s="175" t="str">
        <f t="shared" si="0"/>
        <v>m</v>
      </c>
      <c r="O14" s="175" t="str">
        <f t="shared" si="1"/>
        <v/>
      </c>
      <c r="Q14" s="161">
        <v>12</v>
      </c>
      <c r="R14" s="164" t="str">
        <f t="shared" si="3"/>
        <v>D</v>
      </c>
      <c r="S14" s="178" t="str">
        <f t="shared" si="2"/>
        <v>G</v>
      </c>
      <c r="T14" s="512" t="s">
        <v>72</v>
      </c>
      <c r="U14" s="515">
        <f xml:space="preserve"> MATCH( "" &amp; 表格1_3374[[#This Row],[鍵盤位置]], $J$3:$J$57, 0)</f>
        <v>11</v>
      </c>
      <c r="V14" s="515" t="str" cm="1">
        <f t="array" ref="V14" xml:space="preserve"> INDEX($K$3:$K$57, 表格1_3374[[#This Row],[欄1]])</f>
        <v>ㄎ</v>
      </c>
      <c r="X14" s="517" t="str">
        <f t="shared" si="4"/>
        <v>"D": ㄫ</v>
      </c>
      <c r="Z14" s="223" t="str">
        <f xml:space="preserve"> INDEX($K$3:$K$44, MATCH(表格1_3374[[#This Row],[鍵盤位置]], $J$3:$J$44,0))</f>
        <v>ㄎ</v>
      </c>
      <c r="AA14" s="224" t="s">
        <v>548</v>
      </c>
      <c r="AB14" s="225" t="s">
        <v>550</v>
      </c>
    </row>
    <row r="15" spans="1:28">
      <c r="A15" s="216" t="str">
        <f xml:space="preserve"> _xlfn.CONCAT(J3:J57)</f>
        <v>1!qa2wsxeEdDcrRfvyYhn8*iIkoO9(lL,&lt;m0p;:/-uUjJ 43btgz657</v>
      </c>
      <c r="B15" s="217">
        <f xml:space="preserve"> LEN(A15)</f>
        <v>55</v>
      </c>
      <c r="E15" s="161">
        <v>13</v>
      </c>
      <c r="F15" s="181" t="s">
        <v>95</v>
      </c>
      <c r="G15" s="182" t="s">
        <v>166</v>
      </c>
      <c r="I15" s="161">
        <v>13</v>
      </c>
      <c r="J15" s="511" t="s">
        <v>166</v>
      </c>
      <c r="K15" s="176" t="s">
        <v>94</v>
      </c>
      <c r="M15" s="161">
        <v>13</v>
      </c>
      <c r="N15" s="175" t="str">
        <f t="shared" si="0"/>
        <v>t</v>
      </c>
      <c r="O15" s="175" t="str">
        <f t="shared" si="1"/>
        <v/>
      </c>
      <c r="Q15" s="161">
        <v>13</v>
      </c>
      <c r="R15" s="164" t="str">
        <f t="shared" si="3"/>
        <v>c</v>
      </c>
      <c r="S15" s="178" t="str">
        <f t="shared" si="2"/>
        <v>h</v>
      </c>
      <c r="T15" s="512" t="s">
        <v>94</v>
      </c>
      <c r="U15" s="512">
        <f xml:space="preserve"> MATCH( "" &amp; 表格1_3374[[#This Row],[鍵盤位置]], $J$3:$J$57, 0)</f>
        <v>13</v>
      </c>
      <c r="V15" s="512" t="str" cm="1">
        <f t="array" ref="V15" xml:space="preserve"> INDEX($K$3:$K$57, 表格1_3374[[#This Row],[欄1]])</f>
        <v>ㄏ</v>
      </c>
      <c r="X15" s="517" t="str">
        <f t="shared" si="4"/>
        <v>"c": ㄏ</v>
      </c>
      <c r="Z15" s="223" t="str">
        <f xml:space="preserve"> INDEX($K$3:$K$44, MATCH(表格1_3374[[#This Row],[鍵盤位置]], $J$3:$J$44,0))</f>
        <v>ㄏ</v>
      </c>
      <c r="AA15" s="224" t="s">
        <v>552</v>
      </c>
      <c r="AB15" s="225" t="s">
        <v>554</v>
      </c>
    </row>
    <row r="16" spans="1:28">
      <c r="A16" s="216" t="str">
        <f xml:space="preserve"> _xlfn.CONCAT(K3:K57)</f>
        <v>ㄅㆠㄆㄇㄉㄊㄋㄌㄍㆣㄎㄫㄏㄐㆢㄑㄒㄗㆡㄘㄙㄚㆩㆦㆧㄜㆤㆥㄞㆮㄠㆯㆰㆱㆬㄢㄣㄤㆲㄥㆭㄧㆪㄨㆫ ˋ˪ㆴㆵㆻㆷˊ˫˙</v>
      </c>
      <c r="B16" s="217">
        <f xml:space="preserve"> LEN(A16)</f>
        <v>55</v>
      </c>
      <c r="E16" s="161">
        <v>14</v>
      </c>
      <c r="F16" s="186" t="s">
        <v>707</v>
      </c>
      <c r="G16" s="187" t="s">
        <v>172</v>
      </c>
      <c r="I16" s="161">
        <v>14</v>
      </c>
      <c r="J16" s="511" t="s">
        <v>172</v>
      </c>
      <c r="K16" s="176" t="s">
        <v>43</v>
      </c>
      <c r="M16" s="161">
        <v>14</v>
      </c>
      <c r="N16" s="175" t="str">
        <f t="shared" si="0"/>
        <v>T</v>
      </c>
      <c r="O16" s="175" t="str">
        <f t="shared" si="1"/>
        <v/>
      </c>
      <c r="Q16" s="161">
        <v>14</v>
      </c>
      <c r="R16" s="164" t="str">
        <f t="shared" si="3"/>
        <v>r</v>
      </c>
      <c r="S16" s="178" t="str">
        <f t="shared" si="2"/>
        <v>Z</v>
      </c>
      <c r="T16" s="512" t="s">
        <v>43</v>
      </c>
      <c r="U16" s="512">
        <f xml:space="preserve"> MATCH( "" &amp; 表格1_3374[[#This Row],[鍵盤位置]], $J$3:$J$57, 0)</f>
        <v>14</v>
      </c>
      <c r="V16" s="512" t="str" cm="1">
        <f t="array" ref="V16" xml:space="preserve"> INDEX($K$3:$K$57, 表格1_3374[[#This Row],[欄1]])</f>
        <v>ㄐ</v>
      </c>
      <c r="X16" s="517" t="str">
        <f t="shared" si="4"/>
        <v>"r": ㄐ</v>
      </c>
      <c r="Z16" s="223" t="str">
        <f xml:space="preserve"> INDEX($K$3:$K$44, MATCH(表格1_3374[[#This Row],[鍵盤位置]], $J$3:$J$44,0))</f>
        <v>ㄐ</v>
      </c>
      <c r="AA16" s="224" t="s">
        <v>556</v>
      </c>
      <c r="AB16" s="225" t="s">
        <v>557</v>
      </c>
    </row>
    <row r="17" spans="1:28">
      <c r="E17" s="161">
        <v>15</v>
      </c>
      <c r="F17" s="172" t="s">
        <v>61</v>
      </c>
      <c r="G17" s="173" t="s">
        <v>27</v>
      </c>
      <c r="I17" s="161">
        <v>15</v>
      </c>
      <c r="J17" s="511" t="s">
        <v>27</v>
      </c>
      <c r="K17" s="176" t="s">
        <v>105</v>
      </c>
      <c r="M17" s="161">
        <v>15</v>
      </c>
      <c r="N17" s="175" t="str">
        <f t="shared" si="0"/>
        <v>n</v>
      </c>
      <c r="O17" s="175" t="str">
        <f t="shared" si="1"/>
        <v/>
      </c>
      <c r="Q17" s="161">
        <v>15</v>
      </c>
      <c r="R17" s="164" t="str">
        <f t="shared" si="3"/>
        <v>R</v>
      </c>
      <c r="S17" s="178" t="str">
        <f t="shared" si="2"/>
        <v>J</v>
      </c>
      <c r="T17" s="512" t="s">
        <v>105</v>
      </c>
      <c r="U17" s="515">
        <f xml:space="preserve"> MATCH( "" &amp; 表格1_3374[[#This Row],[鍵盤位置]], $J$3:$J$57, 0)</f>
        <v>14</v>
      </c>
      <c r="V17" s="515" t="str" cm="1">
        <f t="array" ref="V17" xml:space="preserve"> INDEX($K$3:$K$57, 表格1_3374[[#This Row],[欄1]])</f>
        <v>ㄐ</v>
      </c>
      <c r="X17" s="517" t="str">
        <f t="shared" si="4"/>
        <v>"R": ㆢ</v>
      </c>
      <c r="Z17" s="223" t="str">
        <f xml:space="preserve"> INDEX($K$3:$K$44, MATCH(表格1_3374[[#This Row],[鍵盤位置]], $J$3:$J$44,0))</f>
        <v>ㄐ</v>
      </c>
      <c r="AA17" s="224" t="s">
        <v>45</v>
      </c>
      <c r="AB17" s="225" t="s">
        <v>300</v>
      </c>
    </row>
    <row r="18" spans="1:28">
      <c r="E18" s="161">
        <v>16</v>
      </c>
      <c r="F18" s="181" t="s">
        <v>83</v>
      </c>
      <c r="G18" s="182" t="s">
        <v>173</v>
      </c>
      <c r="I18" s="161">
        <v>16</v>
      </c>
      <c r="J18" s="511" t="s">
        <v>173</v>
      </c>
      <c r="K18" s="176" t="s">
        <v>71</v>
      </c>
      <c r="M18" s="161">
        <v>16</v>
      </c>
      <c r="N18" s="175" t="str">
        <f t="shared" si="0"/>
        <v>l</v>
      </c>
      <c r="O18" s="175" t="str">
        <f t="shared" si="1"/>
        <v/>
      </c>
      <c r="Q18" s="161">
        <v>16</v>
      </c>
      <c r="R18" s="164" t="str">
        <f t="shared" si="3"/>
        <v>f</v>
      </c>
      <c r="S18" s="178" t="str">
        <f t="shared" si="2"/>
        <v>C</v>
      </c>
      <c r="T18" s="512" t="s">
        <v>71</v>
      </c>
      <c r="U18" s="512">
        <f xml:space="preserve"> MATCH( "" &amp; 表格1_3374[[#This Row],[鍵盤位置]], $J$3:$J$57, 0)</f>
        <v>16</v>
      </c>
      <c r="V18" s="512" t="str" cm="1">
        <f t="array" ref="V18" xml:space="preserve"> INDEX($K$3:$K$57, 表格1_3374[[#This Row],[欄1]])</f>
        <v>ㄑ</v>
      </c>
      <c r="X18" s="517" t="str">
        <f t="shared" si="4"/>
        <v>"f": ㄑ</v>
      </c>
      <c r="Z18" s="223" t="str">
        <f xml:space="preserve"> INDEX($K$3:$K$44, MATCH(表格1_3374[[#This Row],[鍵盤位置]], $J$3:$J$44,0))</f>
        <v>ㄑ</v>
      </c>
      <c r="AA18" s="224" t="s">
        <v>73</v>
      </c>
      <c r="AB18" s="225" t="s">
        <v>299</v>
      </c>
    </row>
    <row r="19" spans="1:28">
      <c r="E19" s="161">
        <v>17</v>
      </c>
      <c r="F19" s="186" t="s">
        <v>56</v>
      </c>
      <c r="G19" s="187" t="s">
        <v>174</v>
      </c>
      <c r="I19" s="161">
        <v>17</v>
      </c>
      <c r="J19" s="511" t="s">
        <v>174</v>
      </c>
      <c r="K19" s="176" t="s">
        <v>96</v>
      </c>
      <c r="M19" s="161">
        <v>17</v>
      </c>
      <c r="N19" s="175" t="str">
        <f t="shared" si="0"/>
        <v>k</v>
      </c>
      <c r="O19" s="175" t="str">
        <f t="shared" si="1"/>
        <v/>
      </c>
      <c r="Q19" s="161">
        <v>17</v>
      </c>
      <c r="R19" s="164" t="str">
        <f t="shared" si="3"/>
        <v>v</v>
      </c>
      <c r="S19" s="178" t="str">
        <f t="shared" si="2"/>
        <v>S</v>
      </c>
      <c r="T19" s="512" t="s">
        <v>96</v>
      </c>
      <c r="U19" s="512">
        <f xml:space="preserve"> MATCH( "" &amp; 表格1_3374[[#This Row],[鍵盤位置]], $J$3:$J$57, 0)</f>
        <v>17</v>
      </c>
      <c r="V19" s="512" t="str" cm="1">
        <f t="array" ref="V19" xml:space="preserve"> INDEX($K$3:$K$57, 表格1_3374[[#This Row],[欄1]])</f>
        <v>ㄒ</v>
      </c>
      <c r="X19" s="517" t="str">
        <f t="shared" si="4"/>
        <v>"v": ㄒ</v>
      </c>
      <c r="Z19" s="223" t="str">
        <f xml:space="preserve"> INDEX($K$3:$K$44, MATCH(表格1_3374[[#This Row],[鍵盤位置]], $J$3:$J$44,0))</f>
        <v>ㄒ</v>
      </c>
      <c r="AA19" s="224" t="s">
        <v>211</v>
      </c>
      <c r="AB19" s="225" t="s">
        <v>563</v>
      </c>
    </row>
    <row r="20" spans="1:28">
      <c r="A20" s="219" t="s">
        <v>535</v>
      </c>
      <c r="E20" s="161">
        <v>18</v>
      </c>
      <c r="F20" s="197" t="s">
        <v>165</v>
      </c>
      <c r="G20" s="198" t="s">
        <v>175</v>
      </c>
      <c r="I20" s="161">
        <v>18</v>
      </c>
      <c r="J20" s="511" t="s">
        <v>175</v>
      </c>
      <c r="K20" s="176" t="s">
        <v>46</v>
      </c>
      <c r="M20" s="161">
        <v>18</v>
      </c>
      <c r="N20" s="175" t="str">
        <f t="shared" si="0"/>
        <v>g</v>
      </c>
      <c r="O20" s="175" t="str">
        <f t="shared" si="1"/>
        <v/>
      </c>
      <c r="Q20" s="161">
        <v>18</v>
      </c>
      <c r="R20" s="164" t="str">
        <f t="shared" si="3"/>
        <v>y</v>
      </c>
      <c r="S20" s="178" t="str">
        <f t="shared" si="2"/>
        <v>z</v>
      </c>
      <c r="T20" s="512" t="s">
        <v>46</v>
      </c>
      <c r="U20" s="512">
        <f xml:space="preserve"> MATCH( "" &amp; 表格1_3374[[#This Row],[鍵盤位置]], $J$3:$J$57, 0)</f>
        <v>18</v>
      </c>
      <c r="V20" s="512" t="str" cm="1">
        <f t="array" ref="V20" xml:space="preserve"> INDEX($K$3:$K$57, 表格1_3374[[#This Row],[欄1]])</f>
        <v>ㄗ</v>
      </c>
      <c r="X20" s="517" t="str">
        <f t="shared" si="4"/>
        <v>"y": ㄗ</v>
      </c>
      <c r="Z20" s="223" t="str">
        <f xml:space="preserve"> INDEX($K$3:$K$44, MATCH(表格1_3374[[#This Row],[鍵盤位置]], $J$3:$J$44,0))</f>
        <v>ㄗ</v>
      </c>
      <c r="AA20" s="224" t="s">
        <v>211</v>
      </c>
      <c r="AB20" s="225" t="s">
        <v>295</v>
      </c>
    </row>
    <row r="21" spans="1:28">
      <c r="A21" s="215" t="str">
        <f xml:space="preserve"> "- 'xlit|" &amp; A25 &amp; "|" &amp; A26 &amp; "|'"</f>
        <v>- 'xlit|pbPmtTnlkgKGhZJCSzjcsaAOQoeEyYxX{}M@N[]RriIuU9&gt;&lt;4123570|ㄅㆠㄆㄇㄉㄊㄋㄌㄍㆣㄎㄫㄏㄐㆢㄑㄒㄗㆡㄘㄙㄚㆩㆦㆧㄜㆤㆤㄞㆮㄠㆯㆰㆱㆬㄢㄣㄤㆲㄥㆭㄧㄧㄨㆫㆴㆵㆻㆷ ˋ˪ˊ˫˙|'</v>
      </c>
      <c r="E21" s="161">
        <v>19</v>
      </c>
      <c r="F21" s="202" t="s">
        <v>97</v>
      </c>
      <c r="G21" s="203" t="s">
        <v>29</v>
      </c>
      <c r="I21" s="161">
        <v>19</v>
      </c>
      <c r="J21" s="511" t="s">
        <v>29</v>
      </c>
      <c r="K21" s="176" t="s">
        <v>106</v>
      </c>
      <c r="M21" s="161">
        <v>19</v>
      </c>
      <c r="N21" s="175" t="str">
        <f t="shared" si="0"/>
        <v>K</v>
      </c>
      <c r="O21" s="175" t="str">
        <f t="shared" si="1"/>
        <v/>
      </c>
      <c r="Q21" s="161">
        <v>19</v>
      </c>
      <c r="R21" s="164" t="str">
        <f t="shared" si="3"/>
        <v>Y</v>
      </c>
      <c r="S21" s="178" t="str">
        <f t="shared" si="2"/>
        <v>j</v>
      </c>
      <c r="T21" s="512" t="s">
        <v>106</v>
      </c>
      <c r="U21" s="515">
        <f xml:space="preserve"> MATCH( "" &amp; 表格1_3374[[#This Row],[鍵盤位置]], $J$3:$J$57, 0)</f>
        <v>18</v>
      </c>
      <c r="V21" s="515" t="str" cm="1">
        <f t="array" ref="V21" xml:space="preserve"> INDEX($K$3:$K$57, 表格1_3374[[#This Row],[欄1]])</f>
        <v>ㄗ</v>
      </c>
      <c r="X21" s="517" t="str">
        <f t="shared" si="4"/>
        <v>"Y": ㆡ</v>
      </c>
      <c r="Z21" s="223" t="str">
        <f xml:space="preserve"> INDEX($K$3:$K$44, MATCH(表格1_3374[[#This Row],[鍵盤位置]], $J$3:$J$44,0))</f>
        <v>ㄗ</v>
      </c>
      <c r="AA21" s="224" t="s">
        <v>546</v>
      </c>
      <c r="AB21" s="225" t="s">
        <v>297</v>
      </c>
    </row>
    <row r="22" spans="1:28">
      <c r="A22" s="161">
        <f xml:space="preserve"> SEARCH("|",$A$11,1)</f>
        <v>8</v>
      </c>
      <c r="E22" s="161">
        <v>20</v>
      </c>
      <c r="F22" s="186" t="s">
        <v>166</v>
      </c>
      <c r="G22" s="187" t="s">
        <v>95</v>
      </c>
      <c r="I22" s="161">
        <v>20</v>
      </c>
      <c r="J22" s="511" t="s">
        <v>95</v>
      </c>
      <c r="K22" s="176" t="s">
        <v>74</v>
      </c>
      <c r="M22" s="161">
        <v>20</v>
      </c>
      <c r="N22" s="175" t="str">
        <f t="shared" si="0"/>
        <v>G</v>
      </c>
      <c r="O22" s="175" t="str">
        <f t="shared" si="1"/>
        <v/>
      </c>
      <c r="Q22" s="161">
        <v>20</v>
      </c>
      <c r="R22" s="164" t="str">
        <f t="shared" si="3"/>
        <v>h</v>
      </c>
      <c r="S22" s="178" t="str">
        <f t="shared" si="2"/>
        <v>c</v>
      </c>
      <c r="T22" s="512" t="s">
        <v>74</v>
      </c>
      <c r="U22" s="512">
        <f xml:space="preserve"> MATCH( "" &amp; 表格1_3374[[#This Row],[鍵盤位置]], $J$3:$J$57, 0)</f>
        <v>20</v>
      </c>
      <c r="V22" s="512" t="str" cm="1">
        <f t="array" ref="V22" xml:space="preserve"> INDEX($K$3:$K$57, 表格1_3374[[#This Row],[欄1]])</f>
        <v>ㄘ</v>
      </c>
      <c r="X22" s="517" t="str">
        <f t="shared" si="4"/>
        <v>"h": ㄘ</v>
      </c>
      <c r="Z22" s="223" t="str">
        <f xml:space="preserve"> INDEX($K$3:$K$44, MATCH(表格1_3374[[#This Row],[鍵盤位置]], $J$3:$J$44,0))</f>
        <v>ㄘ</v>
      </c>
      <c r="AA22" s="224" t="s">
        <v>566</v>
      </c>
      <c r="AB22" s="225" t="s">
        <v>296</v>
      </c>
    </row>
    <row r="23" spans="1:28">
      <c r="A23" s="161">
        <f xml:space="preserve"> SEARCH("|",$A$11,A22+1)</f>
        <v>64</v>
      </c>
      <c r="E23" s="161">
        <v>21</v>
      </c>
      <c r="F23" s="206" t="s">
        <v>99</v>
      </c>
      <c r="G23" s="206" t="s">
        <v>68</v>
      </c>
      <c r="I23" s="161">
        <v>21</v>
      </c>
      <c r="J23" s="511" t="s">
        <v>68</v>
      </c>
      <c r="K23" s="176" t="s">
        <v>98</v>
      </c>
      <c r="M23" s="161">
        <v>21</v>
      </c>
      <c r="N23" s="175" t="str">
        <f t="shared" si="0"/>
        <v>h</v>
      </c>
      <c r="O23" s="175" t="str">
        <f t="shared" si="1"/>
        <v/>
      </c>
      <c r="Q23" s="161">
        <v>21</v>
      </c>
      <c r="R23" s="164" t="str">
        <f t="shared" si="3"/>
        <v>n</v>
      </c>
      <c r="S23" s="178" t="str">
        <f t="shared" si="2"/>
        <v>s</v>
      </c>
      <c r="T23" s="512" t="s">
        <v>98</v>
      </c>
      <c r="U23" s="512">
        <f xml:space="preserve"> MATCH( "" &amp; 表格1_3374[[#This Row],[鍵盤位置]], $J$3:$J$57, 0)</f>
        <v>21</v>
      </c>
      <c r="V23" s="512" t="str" cm="1">
        <f t="array" ref="V23" xml:space="preserve"> INDEX($K$3:$K$57, 表格1_3374[[#This Row],[欄1]])</f>
        <v>ㄙ</v>
      </c>
      <c r="X23" s="517" t="str">
        <f t="shared" si="4"/>
        <v>"n": ㄙ</v>
      </c>
      <c r="Z23" s="223" t="str">
        <f xml:space="preserve"> INDEX($K$3:$K$44, MATCH(表格1_3374[[#This Row],[鍵盤位置]], $J$3:$J$44,0))</f>
        <v>ㄙ</v>
      </c>
      <c r="AA23" s="224" t="s">
        <v>99</v>
      </c>
      <c r="AB23" s="225" t="s">
        <v>294</v>
      </c>
    </row>
    <row r="24" spans="1:28">
      <c r="A24" s="161">
        <f xml:space="preserve"> SEARCH("|",$A$11,A23+1)</f>
        <v>120</v>
      </c>
      <c r="E24" s="161">
        <v>22</v>
      </c>
      <c r="F24" s="206" t="s">
        <v>21</v>
      </c>
      <c r="G24" s="206" t="s">
        <v>176</v>
      </c>
      <c r="I24" s="161">
        <v>22</v>
      </c>
      <c r="J24" s="511" t="s">
        <v>176</v>
      </c>
      <c r="K24" s="176" t="s">
        <v>20</v>
      </c>
      <c r="M24" s="161">
        <v>22</v>
      </c>
      <c r="N24" s="175" t="str">
        <f t="shared" si="0"/>
        <v>Z</v>
      </c>
      <c r="O24" s="175" t="str">
        <f t="shared" si="1"/>
        <v/>
      </c>
      <c r="Q24" s="161">
        <v>22</v>
      </c>
      <c r="R24" s="164" t="str">
        <f t="shared" si="3"/>
        <v>8</v>
      </c>
      <c r="S24" s="178" t="str">
        <f t="shared" si="2"/>
        <v>a</v>
      </c>
      <c r="T24" s="512" t="s">
        <v>20</v>
      </c>
      <c r="U24" s="512">
        <f xml:space="preserve"> MATCH( "" &amp; 表格1_3374[[#This Row],[鍵盤位置]], $J$3:$J$57, 0)</f>
        <v>22</v>
      </c>
      <c r="V24" s="512" t="str" cm="1">
        <f t="array" ref="V24" xml:space="preserve"> INDEX($K$3:$K$57, 表格1_3374[[#This Row],[欄1]])</f>
        <v>ㄚ</v>
      </c>
      <c r="X24" s="517" t="str">
        <f t="shared" si="4"/>
        <v>"8": ㄚ</v>
      </c>
      <c r="Z24" s="223" t="str">
        <f xml:space="preserve"> INDEX($K$3:$K$44, MATCH(表格1_3374[[#This Row],[鍵盤位置]], $J$3:$J$44,0))</f>
        <v>ㄚ</v>
      </c>
      <c r="AA24" s="226" t="s">
        <v>49</v>
      </c>
      <c r="AB24" s="225" t="s">
        <v>276</v>
      </c>
    </row>
    <row r="25" spans="1:28">
      <c r="A25" s="216" t="str">
        <f xml:space="preserve"> _xlfn.CONCAT(按鍵編碼)</f>
        <v>pbPmtTnlkgKGhZJCSzjcsaAOQoeEyYxX{}M@N[]RriIuU9&gt;&lt;4123570</v>
      </c>
      <c r="B25" s="217">
        <f xml:space="preserve"> LEN(A25)</f>
        <v>55</v>
      </c>
      <c r="E25" s="161">
        <v>23</v>
      </c>
      <c r="F25" s="206" t="s">
        <v>709</v>
      </c>
      <c r="G25" s="206" t="s">
        <v>177</v>
      </c>
      <c r="I25" s="161">
        <v>23</v>
      </c>
      <c r="J25" s="511" t="s">
        <v>177</v>
      </c>
      <c r="K25" s="176" t="s">
        <v>107</v>
      </c>
      <c r="M25" s="161">
        <v>23</v>
      </c>
      <c r="N25" s="175" t="str">
        <f t="shared" si="0"/>
        <v>J</v>
      </c>
      <c r="O25" s="175" t="str">
        <f t="shared" si="1"/>
        <v/>
      </c>
      <c r="Q25" s="161">
        <v>23</v>
      </c>
      <c r="R25" s="164" t="str">
        <f t="shared" si="3"/>
        <v>*</v>
      </c>
      <c r="S25" s="178" t="str">
        <f t="shared" si="2"/>
        <v>A</v>
      </c>
      <c r="T25" s="512" t="s">
        <v>107</v>
      </c>
      <c r="U25" s="515">
        <f xml:space="preserve"> MATCH( "" &amp; 表格1_3374[[#This Row],[鍵盤位置]], $J$3:$J$57, 0)</f>
        <v>1</v>
      </c>
      <c r="V25" s="515" t="str" cm="1">
        <f t="array" ref="V25" xml:space="preserve"> INDEX($K$3:$K$57, 表格1_3374[[#This Row],[欄1]])</f>
        <v>ㄅ</v>
      </c>
      <c r="X25" s="517" t="str">
        <f t="shared" si="4"/>
        <v>"*": ㆩ</v>
      </c>
      <c r="Z25" s="223" t="str">
        <f xml:space="preserve"> INDEX($K$3:$K$44, MATCH(表格1_3374[[#This Row],[鍵盤位置]], $J$3:$J$44,0))</f>
        <v>ㄅ</v>
      </c>
      <c r="AA25" s="226" t="s">
        <v>77</v>
      </c>
      <c r="AB25" s="225" t="s">
        <v>274</v>
      </c>
    </row>
    <row r="26" spans="1:28">
      <c r="A26" s="216" t="str">
        <f xml:space="preserve"> _xlfn.CONCAT(方音符號)</f>
        <v>ㄅㆠㄆㄇㄉㄊㄋㄌㄍㆣㄎㄫㄏㄐㆢㄑㄒㄗㆡㄘㄙㄚㆩㆦㆧㄜㆤㆤㄞㆮㄠㆯㆰㆱㆬㄢㄣㄤㆲㄥㆭㄧㄧㄨㆫㆴㆵㆻㆷ ˋ˪ˊ˫˙</v>
      </c>
      <c r="B26" s="217">
        <f xml:space="preserve"> LEN(A26)</f>
        <v>55</v>
      </c>
      <c r="E26" s="161">
        <v>24</v>
      </c>
      <c r="F26" s="206" t="s">
        <v>32</v>
      </c>
      <c r="G26" s="206" t="s">
        <v>49</v>
      </c>
      <c r="I26" s="161">
        <v>24</v>
      </c>
      <c r="J26" s="511" t="s">
        <v>49</v>
      </c>
      <c r="K26" s="176" t="s">
        <v>50</v>
      </c>
      <c r="M26" s="161">
        <v>24</v>
      </c>
      <c r="N26" s="175" t="str">
        <f t="shared" si="0"/>
        <v>C</v>
      </c>
      <c r="O26" s="175" t="str">
        <f t="shared" si="1"/>
        <v/>
      </c>
      <c r="Q26" s="161">
        <v>24</v>
      </c>
      <c r="R26" s="164" t="str">
        <f t="shared" si="3"/>
        <v>i</v>
      </c>
      <c r="S26" s="178" t="str">
        <f t="shared" si="2"/>
        <v>O</v>
      </c>
      <c r="T26" s="512" t="s">
        <v>50</v>
      </c>
      <c r="U26" s="512">
        <f xml:space="preserve"> MATCH( "" &amp; 表格1_3374[[#This Row],[鍵盤位置]], $J$3:$J$57, 0)</f>
        <v>24</v>
      </c>
      <c r="V26" s="512" t="str" cm="1">
        <f t="array" ref="V26" xml:space="preserve"> INDEX($K$3:$K$57, 表格1_3374[[#This Row],[欄1]])</f>
        <v>ㆦ</v>
      </c>
      <c r="X26" s="517" t="str">
        <f t="shared" si="4"/>
        <v>"i": ㆦ</v>
      </c>
      <c r="Z26" s="223" t="str">
        <f xml:space="preserve"> INDEX($K$3:$K$44, MATCH(表格1_3374[[#This Row],[鍵盤位置]], $J$3:$J$44,0))</f>
        <v>ㆦ</v>
      </c>
      <c r="AA26" s="226" t="s">
        <v>66</v>
      </c>
      <c r="AB26" s="225" t="s">
        <v>268</v>
      </c>
    </row>
    <row r="27" spans="1:28">
      <c r="E27" s="161">
        <v>25</v>
      </c>
      <c r="F27" s="206" t="s">
        <v>24</v>
      </c>
      <c r="G27" s="206" t="s">
        <v>31</v>
      </c>
      <c r="I27" s="161">
        <v>25</v>
      </c>
      <c r="J27" s="511" t="s">
        <v>31</v>
      </c>
      <c r="K27" s="176" t="s">
        <v>108</v>
      </c>
      <c r="M27" s="161">
        <v>25</v>
      </c>
      <c r="N27" s="175" t="str">
        <f t="shared" si="0"/>
        <v>S</v>
      </c>
      <c r="O27" s="175" t="str">
        <f t="shared" si="1"/>
        <v/>
      </c>
      <c r="Q27" s="161">
        <v>25</v>
      </c>
      <c r="R27" s="164" t="str">
        <f t="shared" si="3"/>
        <v>I</v>
      </c>
      <c r="S27" s="178" t="str">
        <f t="shared" si="2"/>
        <v>Q</v>
      </c>
      <c r="T27" s="512" t="s">
        <v>108</v>
      </c>
      <c r="U27" s="515">
        <f xml:space="preserve"> MATCH( "" &amp; 表格1_3374[[#This Row],[鍵盤位置]], $J$3:$J$57, 0)</f>
        <v>24</v>
      </c>
      <c r="V27" s="515" t="str" cm="1">
        <f t="array" ref="V27" xml:space="preserve"> INDEX($K$3:$K$57, 表格1_3374[[#This Row],[欄1]])</f>
        <v>ㆦ</v>
      </c>
      <c r="X27" s="517" t="str">
        <f t="shared" si="4"/>
        <v>"I": ㆧ</v>
      </c>
      <c r="Z27" s="223" t="str">
        <f xml:space="preserve"> INDEX($K$3:$K$44, MATCH(表格1_3374[[#This Row],[鍵盤位置]], $J$3:$J$44,0))</f>
        <v>ㆦ</v>
      </c>
      <c r="AA27" s="226" t="s">
        <v>21</v>
      </c>
      <c r="AB27" s="225" t="s">
        <v>278</v>
      </c>
    </row>
    <row r="28" spans="1:28">
      <c r="E28" s="161">
        <v>26</v>
      </c>
      <c r="F28" s="206" t="s">
        <v>79</v>
      </c>
      <c r="G28" s="206" t="s">
        <v>42</v>
      </c>
      <c r="I28" s="161">
        <v>26</v>
      </c>
      <c r="J28" s="511" t="s">
        <v>42</v>
      </c>
      <c r="K28" s="176" t="s">
        <v>78</v>
      </c>
      <c r="M28" s="161">
        <v>26</v>
      </c>
      <c r="N28" s="175" t="str">
        <f t="shared" si="0"/>
        <v>z</v>
      </c>
      <c r="O28" s="175" t="str">
        <f t="shared" si="1"/>
        <v/>
      </c>
      <c r="Q28" s="161">
        <v>26</v>
      </c>
      <c r="R28" s="164" t="str">
        <f t="shared" si="3"/>
        <v>k</v>
      </c>
      <c r="S28" s="178" t="str">
        <f t="shared" si="2"/>
        <v>o</v>
      </c>
      <c r="T28" s="512" t="s">
        <v>78</v>
      </c>
      <c r="U28" s="512">
        <f xml:space="preserve"> MATCH( "" &amp; 表格1_3374[[#This Row],[鍵盤位置]], $J$3:$J$57, 0)</f>
        <v>26</v>
      </c>
      <c r="V28" s="512" t="str" cm="1">
        <f t="array" ref="V28" xml:space="preserve"> INDEX($K$3:$K$57, 表格1_3374[[#This Row],[欄1]])</f>
        <v>ㄜ</v>
      </c>
      <c r="X28" s="517" t="str">
        <f t="shared" si="4"/>
        <v>"k": ㄜ</v>
      </c>
      <c r="Z28" s="223" t="str">
        <f xml:space="preserve"> INDEX($K$3:$K$44, MATCH(表格1_3374[[#This Row],[鍵盤位置]], $J$3:$J$44,0))</f>
        <v>ㄜ</v>
      </c>
      <c r="AA28" s="226" t="s">
        <v>51</v>
      </c>
      <c r="AB28" s="225" t="s">
        <v>271</v>
      </c>
    </row>
    <row r="29" spans="1:28">
      <c r="E29" s="161">
        <v>27</v>
      </c>
      <c r="F29" s="206" t="s">
        <v>53</v>
      </c>
      <c r="G29" s="206" t="s">
        <v>79</v>
      </c>
      <c r="I29" s="161">
        <v>27</v>
      </c>
      <c r="J29" s="511" t="s">
        <v>79</v>
      </c>
      <c r="K29" s="176" t="s">
        <v>52</v>
      </c>
      <c r="M29" s="161">
        <v>27</v>
      </c>
      <c r="N29" s="175" t="str">
        <f t="shared" si="0"/>
        <v>j</v>
      </c>
      <c r="O29" s="175" t="str">
        <f t="shared" si="1"/>
        <v/>
      </c>
      <c r="Q29" s="161">
        <v>27</v>
      </c>
      <c r="R29" s="164" t="str">
        <f t="shared" si="3"/>
        <v>o</v>
      </c>
      <c r="S29" s="178" t="str">
        <f t="shared" si="2"/>
        <v>e</v>
      </c>
      <c r="T29" s="512" t="s">
        <v>52</v>
      </c>
      <c r="U29" s="512">
        <f xml:space="preserve"> MATCH( "" &amp; 表格1_3374[[#This Row],[鍵盤位置]], $J$3:$J$57, 0)</f>
        <v>27</v>
      </c>
      <c r="V29" s="512" t="str" cm="1">
        <f t="array" ref="V29" xml:space="preserve"> INDEX($K$3:$K$57, 表格1_3374[[#This Row],[欄1]])</f>
        <v>ㆤ</v>
      </c>
      <c r="X29" s="517" t="str">
        <f t="shared" si="4"/>
        <v>"o": ㆤ</v>
      </c>
      <c r="Z29" s="223" t="str">
        <f xml:space="preserve"> INDEX($K$3:$K$44, MATCH(表格1_3374[[#This Row],[鍵盤位置]], $J$3:$J$44,0))</f>
        <v>ㆤ</v>
      </c>
      <c r="AA29" s="226" t="s">
        <v>79</v>
      </c>
      <c r="AB29" s="225" t="s">
        <v>269</v>
      </c>
    </row>
    <row r="30" spans="1:28">
      <c r="E30" s="161">
        <v>28</v>
      </c>
      <c r="F30" s="206" t="s">
        <v>26</v>
      </c>
      <c r="G30" s="206" t="s">
        <v>32</v>
      </c>
      <c r="I30" s="161">
        <v>28</v>
      </c>
      <c r="J30" s="511" t="s">
        <v>32</v>
      </c>
      <c r="K30" s="176" t="s">
        <v>110</v>
      </c>
      <c r="M30" s="161">
        <v>28</v>
      </c>
      <c r="N30" s="175" t="str">
        <f t="shared" si="0"/>
        <v>c</v>
      </c>
      <c r="O30" s="175" t="str">
        <f t="shared" si="1"/>
        <v/>
      </c>
      <c r="Q30" s="161">
        <v>28</v>
      </c>
      <c r="R30" s="164" t="str">
        <f t="shared" si="3"/>
        <v>O</v>
      </c>
      <c r="S30" s="178" t="str">
        <f t="shared" si="2"/>
        <v>E</v>
      </c>
      <c r="T30" s="512" t="s">
        <v>52</v>
      </c>
      <c r="U30" s="515">
        <f xml:space="preserve"> MATCH( "" &amp; 表格1_3374[[#This Row],[鍵盤位置]], $J$3:$J$57, 0)</f>
        <v>27</v>
      </c>
      <c r="V30" s="515" t="str" cm="1">
        <f t="array" ref="V30" xml:space="preserve"> INDEX($K$3:$K$57, 表格1_3374[[#This Row],[欄1]])</f>
        <v>ㆤ</v>
      </c>
      <c r="X30" s="517" t="str">
        <f t="shared" si="4"/>
        <v>"O": ㆤ</v>
      </c>
      <c r="Z30" s="223" t="str">
        <f xml:space="preserve"> INDEX($K$3:$K$44, MATCH(表格1_3374[[#This Row],[鍵盤位置]], $J$3:$J$44,0))</f>
        <v>ㆤ</v>
      </c>
      <c r="AA30" s="226" t="s">
        <v>372</v>
      </c>
      <c r="AB30" s="225" t="s">
        <v>574</v>
      </c>
    </row>
    <row r="31" spans="1:28">
      <c r="E31" s="161">
        <v>29</v>
      </c>
      <c r="F31" s="206" t="s">
        <v>175</v>
      </c>
      <c r="G31" s="206" t="s">
        <v>178</v>
      </c>
      <c r="I31" s="161">
        <v>29</v>
      </c>
      <c r="J31" s="511" t="s">
        <v>178</v>
      </c>
      <c r="K31" s="176" t="s">
        <v>22</v>
      </c>
      <c r="M31" s="161">
        <v>29</v>
      </c>
      <c r="N31" s="175" t="str">
        <f t="shared" si="0"/>
        <v>s</v>
      </c>
      <c r="O31" s="175" t="str">
        <f t="shared" si="1"/>
        <v/>
      </c>
      <c r="Q31" s="161">
        <v>29</v>
      </c>
      <c r="R31" s="164" t="str">
        <f t="shared" si="3"/>
        <v>9</v>
      </c>
      <c r="S31" s="178" t="str">
        <f t="shared" si="2"/>
        <v>y</v>
      </c>
      <c r="T31" s="512" t="s">
        <v>22</v>
      </c>
      <c r="U31" s="512">
        <f xml:space="preserve"> MATCH( "" &amp; 表格1_3374[[#This Row],[鍵盤位置]], $J$3:$J$57, 0)</f>
        <v>29</v>
      </c>
      <c r="V31" s="512" t="str" cm="1">
        <f t="array" ref="V31" xml:space="preserve"> INDEX($K$3:$K$57, 表格1_3374[[#This Row],[欄1]])</f>
        <v>ㄞ</v>
      </c>
      <c r="X31" s="517" t="str">
        <f t="shared" si="4"/>
        <v>"9": ㄞ</v>
      </c>
      <c r="Z31" s="223" t="str">
        <f xml:space="preserve"> INDEX($K$3:$K$44, MATCH(表格1_3374[[#This Row],[鍵盤位置]], $J$3:$J$44,0))</f>
        <v>ㄞ</v>
      </c>
      <c r="AA31" s="226" t="s">
        <v>53</v>
      </c>
      <c r="AB31" s="225" t="s">
        <v>265</v>
      </c>
    </row>
    <row r="32" spans="1:28">
      <c r="E32" s="161">
        <v>30</v>
      </c>
      <c r="F32" s="206" t="s">
        <v>29</v>
      </c>
      <c r="G32" s="206" t="s">
        <v>179</v>
      </c>
      <c r="I32" s="161">
        <v>30</v>
      </c>
      <c r="J32" s="511" t="s">
        <v>179</v>
      </c>
      <c r="K32" s="176" t="s">
        <v>111</v>
      </c>
      <c r="M32" s="161">
        <v>30</v>
      </c>
      <c r="N32" s="175" t="str">
        <f t="shared" si="0"/>
        <v>a</v>
      </c>
      <c r="O32" s="175" t="str">
        <f t="shared" si="1"/>
        <v/>
      </c>
      <c r="Q32" s="161">
        <v>30</v>
      </c>
      <c r="R32" s="164" t="str">
        <f t="shared" si="3"/>
        <v>(</v>
      </c>
      <c r="S32" s="178" t="str">
        <f t="shared" si="2"/>
        <v>Y</v>
      </c>
      <c r="T32" s="512" t="s">
        <v>111</v>
      </c>
      <c r="U32" s="512">
        <f xml:space="preserve"> MATCH( "" &amp; 表格1_3374[[#This Row],[鍵盤位置]], $J$3:$J$57, 0)</f>
        <v>30</v>
      </c>
      <c r="V32" s="512" t="str" cm="1">
        <f t="array" ref="V32" xml:space="preserve"> INDEX($K$3:$K$57, 表格1_3374[[#This Row],[欄1]])</f>
        <v>ㆮ</v>
      </c>
      <c r="X32" s="517" t="str">
        <f t="shared" si="4"/>
        <v>"(": ㆮ</v>
      </c>
      <c r="Z32" s="223" t="str">
        <f xml:space="preserve"> INDEX($K$3:$K$44, MATCH(表格1_3374[[#This Row],[鍵盤位置]], $J$3:$J$44,0))</f>
        <v>ㆮ</v>
      </c>
      <c r="AA32" s="226" t="s">
        <v>375</v>
      </c>
      <c r="AB32" s="225" t="s">
        <v>577</v>
      </c>
    </row>
    <row r="33" spans="5:28">
      <c r="E33" s="161">
        <v>31</v>
      </c>
      <c r="F33" s="206" t="s">
        <v>171</v>
      </c>
      <c r="G33" s="206" t="s">
        <v>93</v>
      </c>
      <c r="I33" s="161">
        <v>31</v>
      </c>
      <c r="J33" s="511" t="s">
        <v>93</v>
      </c>
      <c r="K33" s="176" t="s">
        <v>80</v>
      </c>
      <c r="M33" s="161">
        <v>31</v>
      </c>
      <c r="N33" s="175" t="str">
        <f t="shared" si="0"/>
        <v>A</v>
      </c>
      <c r="O33" s="175" t="str">
        <f t="shared" si="1"/>
        <v/>
      </c>
      <c r="Q33" s="161">
        <v>31</v>
      </c>
      <c r="R33" s="164" t="str">
        <f t="shared" si="3"/>
        <v>l</v>
      </c>
      <c r="S33" s="178" t="str">
        <f t="shared" si="2"/>
        <v>x</v>
      </c>
      <c r="T33" s="512" t="s">
        <v>80</v>
      </c>
      <c r="U33" s="512">
        <f xml:space="preserve"> MATCH( "" &amp; 表格1_3374[[#This Row],[鍵盤位置]], $J$3:$J$57, 0)</f>
        <v>31</v>
      </c>
      <c r="V33" s="512" t="str" cm="1">
        <f t="array" ref="V33" xml:space="preserve"> INDEX($K$3:$K$57, 表格1_3374[[#This Row],[欄1]])</f>
        <v>ㄠ</v>
      </c>
      <c r="X33" s="517" t="str">
        <f t="shared" si="4"/>
        <v>"l": ㄠ</v>
      </c>
      <c r="Z33" s="223" t="str">
        <f xml:space="preserve"> INDEX($K$3:$K$44, MATCH(表格1_3374[[#This Row],[鍵盤位置]], $J$3:$J$44,0))</f>
        <v>ㄠ</v>
      </c>
      <c r="AA33" s="226" t="s">
        <v>515</v>
      </c>
      <c r="AB33" s="225" t="s">
        <v>580</v>
      </c>
    </row>
    <row r="34" spans="5:28">
      <c r="E34" s="161">
        <v>32</v>
      </c>
      <c r="F34" s="206" t="s">
        <v>82</v>
      </c>
      <c r="G34" s="206" t="s">
        <v>63</v>
      </c>
      <c r="I34" s="161">
        <v>32</v>
      </c>
      <c r="J34" s="511" t="s">
        <v>63</v>
      </c>
      <c r="K34" s="176" t="s">
        <v>112</v>
      </c>
      <c r="M34" s="161">
        <v>32</v>
      </c>
      <c r="N34" s="175" t="str">
        <f t="shared" si="0"/>
        <v>O</v>
      </c>
      <c r="O34" s="175" t="str">
        <f t="shared" si="1"/>
        <v/>
      </c>
      <c r="Q34" s="161">
        <v>32</v>
      </c>
      <c r="R34" s="164" t="str">
        <f t="shared" si="3"/>
        <v>L</v>
      </c>
      <c r="S34" s="178" t="str">
        <f t="shared" si="2"/>
        <v>X</v>
      </c>
      <c r="T34" s="512" t="s">
        <v>112</v>
      </c>
      <c r="U34" s="512">
        <f xml:space="preserve"> MATCH( "" &amp; 表格1_3374[[#This Row],[鍵盤位置]], $J$3:$J$57, 0)</f>
        <v>31</v>
      </c>
      <c r="V34" s="512" t="str" cm="1">
        <f t="array" ref="V34" xml:space="preserve"> INDEX($K$3:$K$57, 表格1_3374[[#This Row],[欄1]])</f>
        <v>ㄠ</v>
      </c>
      <c r="X34" s="517" t="str">
        <f t="shared" si="4"/>
        <v>"L": ㆯ</v>
      </c>
      <c r="Z34" s="223" t="str">
        <f xml:space="preserve"> INDEX($K$3:$K$44, MATCH(表格1_3374[[#This Row],[鍵盤位置]], $J$3:$J$44,0))</f>
        <v>ㄠ</v>
      </c>
      <c r="AA34" s="226" t="s">
        <v>509</v>
      </c>
      <c r="AB34" s="225" t="s">
        <v>581</v>
      </c>
    </row>
    <row r="35" spans="5:28">
      <c r="E35" s="161">
        <v>33</v>
      </c>
      <c r="F35" s="206" t="s">
        <v>902</v>
      </c>
      <c r="G35" s="206" t="s">
        <v>180</v>
      </c>
      <c r="I35" s="161">
        <v>33</v>
      </c>
      <c r="J35" s="511" t="s">
        <v>180</v>
      </c>
      <c r="K35" s="176" t="s">
        <v>113</v>
      </c>
      <c r="M35" s="161">
        <v>33</v>
      </c>
      <c r="N35" s="175" t="str">
        <f t="shared" si="0"/>
        <v>Q</v>
      </c>
      <c r="O35" s="175" t="str">
        <f t="shared" si="1"/>
        <v/>
      </c>
      <c r="Q35" s="161">
        <v>33</v>
      </c>
      <c r="R35" s="164" t="str">
        <f t="shared" si="3"/>
        <v>,</v>
      </c>
      <c r="S35" s="178" t="str">
        <f t="shared" si="2"/>
        <v>{</v>
      </c>
      <c r="T35" s="512" t="s">
        <v>113</v>
      </c>
      <c r="U35" s="512">
        <f xml:space="preserve"> MATCH( "" &amp; 表格1_3374[[#This Row],[鍵盤位置]], $J$3:$J$57, 0)</f>
        <v>33</v>
      </c>
      <c r="V35" s="512" t="str" cm="1">
        <f t="array" ref="V35" xml:space="preserve"> INDEX($K$3:$K$57, 表格1_3374[[#This Row],[欄1]])</f>
        <v>ㆰ</v>
      </c>
      <c r="X35" s="517" t="str">
        <f t="shared" si="4"/>
        <v>",": ㆰ</v>
      </c>
      <c r="Z35" s="223" t="str">
        <f xml:space="preserve"> INDEX($K$3:$K$44, MATCH(表格1_3374[[#This Row],[鍵盤位置]], $J$3:$J$44,0))</f>
        <v>ㆰ</v>
      </c>
      <c r="AA35" s="226" t="s">
        <v>232</v>
      </c>
      <c r="AB35" s="225" t="s">
        <v>267</v>
      </c>
    </row>
    <row r="36" spans="5:28">
      <c r="E36" s="161">
        <v>34</v>
      </c>
      <c r="F36" s="206" t="s">
        <v>903</v>
      </c>
      <c r="G36" s="206" t="s">
        <v>181</v>
      </c>
      <c r="I36" s="161">
        <v>34</v>
      </c>
      <c r="J36" s="511" t="s">
        <v>181</v>
      </c>
      <c r="K36" s="176" t="s">
        <v>114</v>
      </c>
      <c r="M36" s="161">
        <v>34</v>
      </c>
      <c r="N36" s="175" t="str">
        <f t="shared" si="0"/>
        <v>o</v>
      </c>
      <c r="O36" s="175" t="str">
        <f t="shared" si="1"/>
        <v/>
      </c>
      <c r="Q36" s="161">
        <v>34</v>
      </c>
      <c r="R36" s="164" t="str">
        <f t="shared" si="3"/>
        <v>&lt;</v>
      </c>
      <c r="S36" s="178" t="str">
        <f t="shared" si="2"/>
        <v>}</v>
      </c>
      <c r="T36" s="512" t="s">
        <v>114</v>
      </c>
      <c r="U36" s="512">
        <f xml:space="preserve"> MATCH( "" &amp; 表格1_3374[[#This Row],[鍵盤位置]], $J$3:$J$57, 0)</f>
        <v>34</v>
      </c>
      <c r="V36" s="512" t="str" cm="1">
        <f t="array" ref="V36" xml:space="preserve"> INDEX($K$3:$K$57, 表格1_3374[[#This Row],[欄1]])</f>
        <v>ㆱ</v>
      </c>
      <c r="X36" s="517" t="str">
        <f t="shared" si="4"/>
        <v>"&lt;": ㆱ</v>
      </c>
      <c r="Z36" s="223" t="str">
        <f xml:space="preserve"> INDEX($K$3:$K$44, MATCH(表格1_3374[[#This Row],[鍵盤位置]], $J$3:$J$44,0))</f>
        <v>ㆱ</v>
      </c>
      <c r="AA36" s="226" t="s">
        <v>512</v>
      </c>
      <c r="AB36" s="225" t="s">
        <v>584</v>
      </c>
    </row>
    <row r="37" spans="5:28">
      <c r="E37" s="161">
        <v>35</v>
      </c>
      <c r="F37" s="206" t="s">
        <v>87</v>
      </c>
      <c r="G37" s="206" t="s">
        <v>66</v>
      </c>
      <c r="I37" s="161">
        <v>35</v>
      </c>
      <c r="J37" s="511" t="s">
        <v>66</v>
      </c>
      <c r="K37" s="176" t="s">
        <v>100</v>
      </c>
      <c r="M37" s="161">
        <v>35</v>
      </c>
      <c r="N37" s="175" t="str">
        <f t="shared" si="0"/>
        <v>e</v>
      </c>
      <c r="O37" s="175" t="str">
        <f t="shared" si="1"/>
        <v/>
      </c>
      <c r="Q37" s="161">
        <v>35</v>
      </c>
      <c r="R37" s="164" t="str">
        <f t="shared" si="3"/>
        <v>m</v>
      </c>
      <c r="S37" s="178" t="str">
        <f t="shared" si="2"/>
        <v>M</v>
      </c>
      <c r="T37" s="512" t="s">
        <v>100</v>
      </c>
      <c r="U37" s="512">
        <f xml:space="preserve"> MATCH( "" &amp; 表格1_3374[[#This Row],[鍵盤位置]], $J$3:$J$57, 0)</f>
        <v>35</v>
      </c>
      <c r="V37" s="512" t="str" cm="1">
        <f t="array" ref="V37" xml:space="preserve"> INDEX($K$3:$K$57, 表格1_3374[[#This Row],[欄1]])</f>
        <v>ㆬ</v>
      </c>
      <c r="X37" s="517" t="str">
        <f t="shared" si="4"/>
        <v>"m": ㆬ</v>
      </c>
      <c r="Z37" s="223" t="str">
        <f xml:space="preserve"> INDEX($K$3:$K$44, MATCH(表格1_3374[[#This Row],[鍵盤位置]], $J$3:$J$44,0))</f>
        <v>ㆬ</v>
      </c>
      <c r="AA37" s="226" t="s">
        <v>217</v>
      </c>
      <c r="AB37" s="225" t="s">
        <v>586</v>
      </c>
    </row>
    <row r="38" spans="5:28">
      <c r="E38" s="161">
        <v>36</v>
      </c>
      <c r="F38" s="513" t="s">
        <v>816</v>
      </c>
      <c r="G38" s="206" t="s">
        <v>182</v>
      </c>
      <c r="I38" s="161">
        <v>36</v>
      </c>
      <c r="J38" s="511" t="s">
        <v>182</v>
      </c>
      <c r="K38" s="176" t="s">
        <v>23</v>
      </c>
      <c r="M38" s="161">
        <v>36</v>
      </c>
      <c r="N38" s="175" t="str">
        <f t="shared" si="0"/>
        <v>E</v>
      </c>
      <c r="O38" s="175" t="str">
        <f t="shared" si="1"/>
        <v/>
      </c>
      <c r="Q38" s="161">
        <v>36</v>
      </c>
      <c r="R38" s="164" t="str">
        <f t="shared" si="3"/>
        <v>0</v>
      </c>
      <c r="S38" s="178" t="str">
        <f t="shared" si="2"/>
        <v>@</v>
      </c>
      <c r="T38" s="512" t="s">
        <v>23</v>
      </c>
      <c r="U38" s="512">
        <f xml:space="preserve"> MATCH( "" &amp; 表格1_3374[[#This Row],[鍵盤位置]], $J$3:$J$57, 0)</f>
        <v>36</v>
      </c>
      <c r="V38" s="512" t="str" cm="1">
        <f t="array" ref="V38" xml:space="preserve"> INDEX($K$3:$K$57, 表格1_3374[[#This Row],[欄1]])</f>
        <v>ㄢ</v>
      </c>
      <c r="X38" s="517" t="str">
        <f t="shared" si="4"/>
        <v>"0": ㄢ</v>
      </c>
      <c r="Z38" s="223" t="str">
        <f xml:space="preserve"> INDEX($K$3:$K$44, MATCH(表格1_3374[[#This Row],[鍵盤位置]], $J$3:$J$44,0))</f>
        <v>ㄢ</v>
      </c>
      <c r="AA38" s="226" t="s">
        <v>73</v>
      </c>
      <c r="AB38" s="225" t="s">
        <v>266</v>
      </c>
    </row>
    <row r="39" spans="5:28">
      <c r="E39" s="161">
        <v>37</v>
      </c>
      <c r="F39" s="206" t="s">
        <v>86</v>
      </c>
      <c r="G39" s="206" t="s">
        <v>9</v>
      </c>
      <c r="I39" s="161">
        <v>37</v>
      </c>
      <c r="J39" s="511" t="s">
        <v>9</v>
      </c>
      <c r="K39" s="176" t="s">
        <v>54</v>
      </c>
      <c r="M39" s="161">
        <v>37</v>
      </c>
      <c r="N39" s="175" t="str">
        <f t="shared" si="0"/>
        <v>y</v>
      </c>
      <c r="O39" s="175" t="str">
        <f t="shared" si="1"/>
        <v/>
      </c>
      <c r="Q39" s="161">
        <v>37</v>
      </c>
      <c r="R39" s="164" t="str">
        <f t="shared" si="3"/>
        <v>p</v>
      </c>
      <c r="S39" s="178" t="str">
        <f t="shared" si="2"/>
        <v>N</v>
      </c>
      <c r="T39" s="512" t="s">
        <v>54</v>
      </c>
      <c r="U39" s="512">
        <f xml:space="preserve"> MATCH( "" &amp; 表格1_3374[[#This Row],[鍵盤位置]], $J$3:$J$57, 0)</f>
        <v>37</v>
      </c>
      <c r="V39" s="512" t="str" cm="1">
        <f t="array" ref="V39" xml:space="preserve"> INDEX($K$3:$K$57, 表格1_3374[[#This Row],[欄1]])</f>
        <v>ㄣ</v>
      </c>
      <c r="X39" s="517" t="str">
        <f t="shared" si="4"/>
        <v>"p": ㄣ</v>
      </c>
      <c r="Z39" s="223" t="str">
        <f xml:space="preserve"> INDEX($K$3:$K$44, MATCH(表格1_3374[[#This Row],[鍵盤位置]], $J$3:$J$44,0))</f>
        <v>ㄣ</v>
      </c>
      <c r="AA39" s="226" t="s">
        <v>503</v>
      </c>
      <c r="AB39" s="225" t="s">
        <v>588</v>
      </c>
    </row>
    <row r="40" spans="5:28">
      <c r="E40" s="161">
        <v>38</v>
      </c>
      <c r="F40" s="206" t="s">
        <v>904</v>
      </c>
      <c r="G40" s="206" t="s">
        <v>183</v>
      </c>
      <c r="I40" s="161">
        <v>38</v>
      </c>
      <c r="J40" s="511" t="s">
        <v>183</v>
      </c>
      <c r="K40" s="176" t="s">
        <v>81</v>
      </c>
      <c r="M40" s="161">
        <v>38</v>
      </c>
      <c r="N40" s="175" t="str">
        <f t="shared" si="0"/>
        <v>Y</v>
      </c>
      <c r="O40" s="175" t="str">
        <f t="shared" si="1"/>
        <v/>
      </c>
      <c r="Q40" s="161">
        <v>38</v>
      </c>
      <c r="R40" s="164" t="str">
        <f t="shared" si="3"/>
        <v>;</v>
      </c>
      <c r="S40" s="178" t="str">
        <f t="shared" si="2"/>
        <v>[</v>
      </c>
      <c r="T40" s="512" t="s">
        <v>81</v>
      </c>
      <c r="U40" s="512">
        <f xml:space="preserve"> MATCH( "" &amp; 表格1_3374[[#This Row],[鍵盤位置]], $J$3:$J$57, 0)</f>
        <v>38</v>
      </c>
      <c r="V40" s="512" t="str" cm="1">
        <f t="array" ref="V40" xml:space="preserve"> INDEX($K$3:$K$57, 表格1_3374[[#This Row],[欄1]])</f>
        <v>ㄤ</v>
      </c>
      <c r="X40" s="517" t="str">
        <f t="shared" si="4"/>
        <v>";": ㄤ</v>
      </c>
      <c r="Z40" s="223" t="str">
        <f xml:space="preserve"> INDEX($K$3:$K$44, MATCH(表格1_3374[[#This Row],[鍵盤位置]], $J$3:$J$44,0))</f>
        <v>ㄤ</v>
      </c>
      <c r="AA40" s="226" t="s">
        <v>506</v>
      </c>
      <c r="AB40" s="225" t="s">
        <v>589</v>
      </c>
    </row>
    <row r="41" spans="5:28">
      <c r="E41" s="161">
        <v>39</v>
      </c>
      <c r="F41" s="206" t="s">
        <v>905</v>
      </c>
      <c r="G41" s="206" t="s">
        <v>906</v>
      </c>
      <c r="I41" s="161">
        <v>39</v>
      </c>
      <c r="J41" s="511" t="s">
        <v>906</v>
      </c>
      <c r="K41" s="176" t="s">
        <v>101</v>
      </c>
      <c r="M41" s="161">
        <v>39</v>
      </c>
      <c r="N41" s="175" t="str">
        <f t="shared" si="0"/>
        <v>x</v>
      </c>
      <c r="O41" s="175" t="str">
        <f t="shared" si="1"/>
        <v/>
      </c>
      <c r="Q41" s="161">
        <v>39</v>
      </c>
      <c r="R41" s="164" t="str">
        <f t="shared" si="3"/>
        <v>:</v>
      </c>
      <c r="S41" s="178" t="str">
        <f t="shared" si="2"/>
        <v>]</v>
      </c>
      <c r="T41" s="512" t="s">
        <v>101</v>
      </c>
      <c r="U41" s="512">
        <f xml:space="preserve"> MATCH( "" &amp; 表格1_3374[[#This Row],[鍵盤位置]], $J$3:$J$57, 0)</f>
        <v>39</v>
      </c>
      <c r="V41" s="512" t="str" cm="1">
        <f t="array" ref="V41" xml:space="preserve"> INDEX($K$3:$K$57, 表格1_3374[[#This Row],[欄1]])</f>
        <v>ㆲ</v>
      </c>
      <c r="X41" s="517" t="str">
        <f t="shared" si="4"/>
        <v>":": ㆲ</v>
      </c>
      <c r="Z41" s="223" t="str">
        <f xml:space="preserve"> INDEX($K$3:$K$44, MATCH(表格1_3374[[#This Row],[鍵盤位置]], $J$3:$J$44,0))</f>
        <v>ㆲ</v>
      </c>
      <c r="AA41" s="226" t="s">
        <v>212</v>
      </c>
      <c r="AB41" s="225" t="s">
        <v>277</v>
      </c>
    </row>
    <row r="42" spans="5:28">
      <c r="E42" s="161">
        <v>40</v>
      </c>
      <c r="F42" s="206" t="s">
        <v>27</v>
      </c>
      <c r="G42" s="206" t="s">
        <v>184</v>
      </c>
      <c r="I42" s="161">
        <v>40</v>
      </c>
      <c r="J42" s="511" t="s">
        <v>184</v>
      </c>
      <c r="K42" s="176" t="s">
        <v>115</v>
      </c>
      <c r="M42" s="161">
        <v>40</v>
      </c>
      <c r="N42" s="175" t="str">
        <f t="shared" si="0"/>
        <v>X</v>
      </c>
      <c r="O42" s="175" t="str">
        <f t="shared" si="1"/>
        <v/>
      </c>
      <c r="Q42" s="161">
        <v>40</v>
      </c>
      <c r="R42" s="164" t="str">
        <f t="shared" si="3"/>
        <v>/</v>
      </c>
      <c r="S42" s="178" t="str">
        <f t="shared" si="2"/>
        <v>R</v>
      </c>
      <c r="T42" s="512" t="s">
        <v>115</v>
      </c>
      <c r="U42" s="512">
        <f xml:space="preserve"> MATCH( "" &amp; 表格1_3374[[#This Row],[鍵盤位置]], $J$3:$J$57, 0)</f>
        <v>40</v>
      </c>
      <c r="V42" s="512" t="str" cm="1">
        <f t="array" ref="V42" xml:space="preserve"> INDEX($K$3:$K$57, 表格1_3374[[#This Row],[欄1]])</f>
        <v>ㄥ</v>
      </c>
      <c r="X42" s="517" t="str">
        <f t="shared" si="4"/>
        <v>"/": ㄥ</v>
      </c>
      <c r="Z42" s="223" t="str">
        <f xml:space="preserve"> INDEX($K$3:$K$44, MATCH(表格1_3374[[#This Row],[鍵盤位置]], $J$3:$J$44,0))</f>
        <v>ㄥ</v>
      </c>
      <c r="AA42" s="226" t="s">
        <v>215</v>
      </c>
      <c r="AB42" s="225" t="s">
        <v>275</v>
      </c>
    </row>
    <row r="43" spans="5:28">
      <c r="E43" s="161">
        <v>41</v>
      </c>
      <c r="F43" s="206" t="s">
        <v>172</v>
      </c>
      <c r="G43" s="206" t="s">
        <v>185</v>
      </c>
      <c r="I43" s="161">
        <v>41</v>
      </c>
      <c r="J43" s="511" t="s">
        <v>185</v>
      </c>
      <c r="K43" s="176" t="s">
        <v>102</v>
      </c>
      <c r="M43" s="161">
        <v>41</v>
      </c>
      <c r="N43" s="175" t="str">
        <f t="shared" si="0"/>
        <v>{</v>
      </c>
      <c r="O43" s="175" t="str">
        <f t="shared" si="1"/>
        <v/>
      </c>
      <c r="Q43" s="161">
        <v>41</v>
      </c>
      <c r="R43" s="164" t="str">
        <f t="shared" si="3"/>
        <v>-</v>
      </c>
      <c r="S43" s="178" t="str">
        <f t="shared" si="2"/>
        <v>r</v>
      </c>
      <c r="T43" s="512" t="s">
        <v>102</v>
      </c>
      <c r="U43" s="512">
        <f xml:space="preserve"> MATCH( "" &amp; 表格1_3374[[#This Row],[鍵盤位置]], $J$3:$J$57, 0)</f>
        <v>41</v>
      </c>
      <c r="V43" s="512" t="str" cm="1">
        <f t="array" ref="V43" xml:space="preserve"> INDEX($K$3:$K$57, 表格1_3374[[#This Row],[欄1]])</f>
        <v>ㆭ</v>
      </c>
      <c r="X43" s="517" t="str">
        <f t="shared" si="4"/>
        <v>"-": ㆭ</v>
      </c>
      <c r="Z43" s="223" t="str">
        <f xml:space="preserve"> INDEX($K$3:$K$44, MATCH(表格1_3374[[#This Row],[鍵盤位置]], $J$3:$J$44,0))</f>
        <v>ㆭ</v>
      </c>
      <c r="AA43" s="226" t="s">
        <v>216</v>
      </c>
      <c r="AB43" s="225" t="s">
        <v>273</v>
      </c>
    </row>
    <row r="44" spans="5:28">
      <c r="E44" s="161">
        <v>42</v>
      </c>
      <c r="F44" s="206" t="s">
        <v>49</v>
      </c>
      <c r="G44" s="206" t="s">
        <v>77</v>
      </c>
      <c r="I44" s="161">
        <v>42</v>
      </c>
      <c r="J44" s="511" t="s">
        <v>77</v>
      </c>
      <c r="K44" s="176" t="s">
        <v>48</v>
      </c>
      <c r="M44" s="161">
        <v>42</v>
      </c>
      <c r="N44" s="175" t="str">
        <f t="shared" si="0"/>
        <v>}</v>
      </c>
      <c r="O44" s="175" t="str">
        <f t="shared" si="1"/>
        <v/>
      </c>
      <c r="Q44" s="161">
        <v>42</v>
      </c>
      <c r="R44" s="164" t="str">
        <f t="shared" si="3"/>
        <v>u</v>
      </c>
      <c r="S44" s="178" t="str">
        <f t="shared" si="2"/>
        <v>i</v>
      </c>
      <c r="T44" s="512" t="s">
        <v>48</v>
      </c>
      <c r="U44" s="512">
        <f xml:space="preserve"> MATCH( "" &amp; 表格1_3374[[#This Row],[鍵盤位置]], $J$3:$J$57, 0)</f>
        <v>42</v>
      </c>
      <c r="V44" s="512" t="str" cm="1">
        <f t="array" ref="V44" xml:space="preserve"> INDEX($K$3:$K$57, 表格1_3374[[#This Row],[欄1]])</f>
        <v>ㄧ</v>
      </c>
      <c r="X44" s="517" t="str">
        <f t="shared" si="4"/>
        <v>"u": ㄧ</v>
      </c>
      <c r="Z44" s="223" t="str">
        <f xml:space="preserve"> INDEX($K$3:$K$44, MATCH(表格1_3374[[#This Row],[鍵盤位置]], $J$3:$J$44,0))</f>
        <v>ㄧ</v>
      </c>
      <c r="AA44" s="226" t="s">
        <v>214</v>
      </c>
      <c r="AB44" s="225" t="s">
        <v>272</v>
      </c>
    </row>
    <row r="45" spans="5:28">
      <c r="E45" s="161">
        <v>43</v>
      </c>
      <c r="F45" s="206" t="s">
        <v>31</v>
      </c>
      <c r="G45" s="206" t="s">
        <v>30</v>
      </c>
      <c r="I45" s="161">
        <v>43</v>
      </c>
      <c r="J45" s="511" t="s">
        <v>30</v>
      </c>
      <c r="K45" s="176" t="s">
        <v>116</v>
      </c>
      <c r="O45" s="161"/>
      <c r="Q45" s="161">
        <v>43</v>
      </c>
      <c r="R45" s="164" t="str">
        <f t="shared" si="3"/>
        <v>U</v>
      </c>
      <c r="S45" s="178" t="str">
        <f t="shared" si="2"/>
        <v>I</v>
      </c>
      <c r="T45" s="512" t="s">
        <v>48</v>
      </c>
      <c r="U45" s="512">
        <f xml:space="preserve"> MATCH( "" &amp; 表格1_3374[[#This Row],[鍵盤位置]], $J$3:$J$57, 0)</f>
        <v>42</v>
      </c>
      <c r="V45" s="512" t="str" cm="1">
        <f t="array" ref="V45" xml:space="preserve"> INDEX($K$3:$K$57, 表格1_3374[[#This Row],[欄1]])</f>
        <v>ㄧ</v>
      </c>
      <c r="X45" s="517" t="str">
        <f t="shared" si="4"/>
        <v>"U": ㄧ</v>
      </c>
    </row>
    <row r="46" spans="5:28">
      <c r="E46" s="161">
        <v>44</v>
      </c>
      <c r="F46" s="206" t="s">
        <v>77</v>
      </c>
      <c r="G46" s="206" t="s">
        <v>97</v>
      </c>
      <c r="I46" s="161">
        <v>44</v>
      </c>
      <c r="J46" s="511" t="s">
        <v>97</v>
      </c>
      <c r="K46" s="176" t="s">
        <v>76</v>
      </c>
      <c r="Q46" s="161">
        <v>44</v>
      </c>
      <c r="R46" s="164" t="str">
        <f t="shared" si="3"/>
        <v>j</v>
      </c>
      <c r="S46" s="178" t="str">
        <f t="shared" si="2"/>
        <v>u</v>
      </c>
      <c r="T46" s="512" t="s">
        <v>76</v>
      </c>
      <c r="U46" s="512">
        <f xml:space="preserve"> MATCH( "" &amp; 表格1_3374[[#This Row],[鍵盤位置]], $J$3:$J$57, 0)</f>
        <v>44</v>
      </c>
      <c r="V46" s="512" t="str" cm="1">
        <f t="array" ref="V46" xml:space="preserve"> INDEX($K$3:$K$57, 表格1_3374[[#This Row],[欄1]])</f>
        <v>ㄨ</v>
      </c>
      <c r="X46" s="517" t="str">
        <f t="shared" si="4"/>
        <v>"j": ㄨ</v>
      </c>
      <c r="Z46" s="240" t="str">
        <f xml:space="preserve"> _xlfn.CONCAT(S3:S23)</f>
        <v>pbPmtTnlkgKGhZJCSzjcs</v>
      </c>
    </row>
    <row r="47" spans="5:28">
      <c r="E47" s="161">
        <v>45</v>
      </c>
      <c r="F47" s="206" t="s">
        <v>30</v>
      </c>
      <c r="G47" s="206" t="s">
        <v>61</v>
      </c>
      <c r="I47" s="161">
        <v>45</v>
      </c>
      <c r="J47" s="511" t="s">
        <v>61</v>
      </c>
      <c r="K47" s="176" t="s">
        <v>117</v>
      </c>
      <c r="Q47" s="161">
        <v>45</v>
      </c>
      <c r="R47" s="164" t="str">
        <f t="shared" si="3"/>
        <v>J</v>
      </c>
      <c r="S47" s="178" t="str">
        <f t="shared" si="2"/>
        <v>U</v>
      </c>
      <c r="T47" s="512" t="s">
        <v>117</v>
      </c>
      <c r="U47" s="512">
        <f xml:space="preserve"> MATCH( "" &amp; 表格1_3374[[#This Row],[鍵盤位置]], $J$3:$J$57, 0)</f>
        <v>44</v>
      </c>
      <c r="V47" s="512" t="str" cm="1">
        <f t="array" ref="V47" xml:space="preserve"> INDEX($K$3:$K$57, 表格1_3374[[#This Row],[欄1]])</f>
        <v>ㄨ</v>
      </c>
      <c r="X47" s="517" t="str">
        <f t="shared" si="4"/>
        <v>"J": ㆫ</v>
      </c>
    </row>
    <row r="48" spans="5:28">
      <c r="E48" s="161">
        <v>46</v>
      </c>
      <c r="F48" s="206" t="s">
        <v>168</v>
      </c>
      <c r="G48" s="206" t="s">
        <v>118</v>
      </c>
      <c r="I48" s="161">
        <v>46</v>
      </c>
      <c r="J48" s="511" t="s">
        <v>118</v>
      </c>
      <c r="K48" s="176" t="s">
        <v>118</v>
      </c>
      <c r="Q48" s="161">
        <v>46</v>
      </c>
      <c r="R48" s="164" t="str">
        <f>G51</f>
        <v>b</v>
      </c>
      <c r="S48" s="178" t="str">
        <f>F51</f>
        <v>9</v>
      </c>
      <c r="T48" s="512" t="s">
        <v>119</v>
      </c>
      <c r="U48" s="512">
        <f xml:space="preserve"> MATCH( "" &amp; 表格1_3374[[#This Row],[鍵盤位置]], $J$3:$J$57, 0)</f>
        <v>49</v>
      </c>
      <c r="V48" s="512" t="str" cm="1">
        <f t="array" ref="V48" xml:space="preserve"> INDEX($K$3:$K$57, 表格1_3374[[#This Row],[欄1]])</f>
        <v>ㆴ</v>
      </c>
    </row>
    <row r="49" spans="5:26">
      <c r="E49" s="161">
        <v>47</v>
      </c>
      <c r="F49" s="206" t="s">
        <v>169</v>
      </c>
      <c r="G49" s="206" t="s">
        <v>186</v>
      </c>
      <c r="I49" s="161">
        <v>47</v>
      </c>
      <c r="J49" s="511" t="s">
        <v>186</v>
      </c>
      <c r="K49" s="176" t="s">
        <v>14</v>
      </c>
      <c r="Q49" s="161">
        <v>47</v>
      </c>
      <c r="R49" s="164" t="str">
        <f>G52</f>
        <v>t</v>
      </c>
      <c r="S49" s="178" t="str">
        <f>F52</f>
        <v>&gt;</v>
      </c>
      <c r="T49" s="512" t="s">
        <v>120</v>
      </c>
      <c r="U49" s="512">
        <f xml:space="preserve"> MATCH( "" &amp; 表格1_3374[[#This Row],[鍵盤位置]], $J$3:$J$57, 0)</f>
        <v>50</v>
      </c>
      <c r="V49" s="512" t="str" cm="1">
        <f t="array" ref="V49" xml:space="preserve"> INDEX($K$3:$K$57, 表格1_3374[[#This Row],[欄1]])</f>
        <v>ㆵ</v>
      </c>
      <c r="Z49" t="s">
        <v>907</v>
      </c>
    </row>
    <row r="50" spans="5:26">
      <c r="E50" s="161">
        <v>48</v>
      </c>
      <c r="F50" s="206" t="s">
        <v>187</v>
      </c>
      <c r="G50" s="206" t="s">
        <v>187</v>
      </c>
      <c r="I50" s="161">
        <v>48</v>
      </c>
      <c r="J50" s="511" t="s">
        <v>187</v>
      </c>
      <c r="K50" s="176" t="s">
        <v>12</v>
      </c>
      <c r="Q50" s="161">
        <v>48</v>
      </c>
      <c r="R50" s="164" t="str">
        <f>G53</f>
        <v>g</v>
      </c>
      <c r="S50" s="178" t="str">
        <f>F53</f>
        <v>&lt;</v>
      </c>
      <c r="T50" s="512" t="s">
        <v>121</v>
      </c>
      <c r="U50" s="512">
        <f xml:space="preserve"> MATCH( "" &amp; 表格1_3374[[#This Row],[鍵盤位置]], $J$3:$J$57, 0)</f>
        <v>51</v>
      </c>
      <c r="V50" s="512" t="str" cm="1">
        <f t="array" ref="V50" xml:space="preserve"> INDEX($K$3:$K$57, 表格1_3374[[#This Row],[欄1]])</f>
        <v>ㆻ</v>
      </c>
      <c r="Z50">
        <f xml:space="preserve"> LEN(Z49) - 2</f>
        <v>55</v>
      </c>
    </row>
    <row r="51" spans="5:26">
      <c r="E51" s="161">
        <v>49</v>
      </c>
      <c r="F51" s="206" t="s">
        <v>178</v>
      </c>
      <c r="G51" s="206" t="s">
        <v>91</v>
      </c>
      <c r="I51" s="161">
        <v>49</v>
      </c>
      <c r="J51" s="511" t="s">
        <v>91</v>
      </c>
      <c r="K51" s="176" t="s">
        <v>119</v>
      </c>
      <c r="Q51" s="161">
        <v>49</v>
      </c>
      <c r="R51" s="164" t="str">
        <f>G54</f>
        <v>z</v>
      </c>
      <c r="S51" s="178" t="str">
        <f>F54</f>
        <v>4</v>
      </c>
      <c r="T51" s="512" t="s">
        <v>122</v>
      </c>
      <c r="U51" s="512">
        <f xml:space="preserve"> MATCH( "" &amp; 表格1_3374[[#This Row],[鍵盤位置]], $J$3:$J$57, 0)</f>
        <v>52</v>
      </c>
      <c r="V51" s="512" t="str" cm="1">
        <f t="array" ref="V51" xml:space="preserve"> INDEX($K$3:$K$57, 表格1_3374[[#This Row],[欄1]])</f>
        <v>ㆷ</v>
      </c>
    </row>
    <row r="52" spans="5:26">
      <c r="E52" s="161">
        <v>50</v>
      </c>
      <c r="F52" s="206" t="s">
        <v>908</v>
      </c>
      <c r="G52" s="206" t="s">
        <v>11</v>
      </c>
      <c r="I52" s="161">
        <v>50</v>
      </c>
      <c r="J52" s="511" t="s">
        <v>11</v>
      </c>
      <c r="K52" s="176" t="s">
        <v>120</v>
      </c>
      <c r="Q52" s="161">
        <v>50</v>
      </c>
      <c r="R52" s="164" t="str">
        <f>G48</f>
        <v xml:space="preserve"> </v>
      </c>
      <c r="S52" s="178" t="str">
        <f>F48</f>
        <v>1</v>
      </c>
      <c r="T52" s="512" t="s">
        <v>118</v>
      </c>
      <c r="U52" s="512">
        <f xml:space="preserve"> MATCH( "" &amp; 表格1_3374[[#This Row],[鍵盤位置]], $J$3:$J$57, 0)</f>
        <v>46</v>
      </c>
      <c r="V52" s="512" t="str" cm="1">
        <f t="array" ref="V52" xml:space="preserve"> INDEX($K$3:$K$57, 表格1_3374[[#This Row],[欄1]])</f>
        <v xml:space="preserve"> </v>
      </c>
    </row>
    <row r="53" spans="5:26">
      <c r="E53" s="161">
        <v>51</v>
      </c>
      <c r="F53" s="206" t="s">
        <v>181</v>
      </c>
      <c r="G53" s="206" t="s">
        <v>45</v>
      </c>
      <c r="I53" s="161">
        <v>51</v>
      </c>
      <c r="J53" s="511" t="s">
        <v>45</v>
      </c>
      <c r="K53" s="176" t="s">
        <v>121</v>
      </c>
      <c r="Q53" s="161">
        <v>51</v>
      </c>
      <c r="R53" s="164" t="str">
        <f>G49</f>
        <v>4</v>
      </c>
      <c r="S53" s="178" t="str">
        <f>F49</f>
        <v>2</v>
      </c>
      <c r="T53" s="512" t="s">
        <v>14</v>
      </c>
      <c r="U53" s="512">
        <f xml:space="preserve"> MATCH( "" &amp; 表格1_3374[[#This Row],[鍵盤位置]], $J$3:$J$57, 0)</f>
        <v>47</v>
      </c>
      <c r="V53" s="512" t="str" cm="1">
        <f t="array" ref="V53" xml:space="preserve"> INDEX($K$3:$K$57, 表格1_3374[[#This Row],[欄1]])</f>
        <v>ˋ</v>
      </c>
    </row>
    <row r="54" spans="5:26">
      <c r="E54" s="161">
        <v>52</v>
      </c>
      <c r="F54" s="206" t="s">
        <v>186</v>
      </c>
      <c r="G54" s="206" t="s">
        <v>165</v>
      </c>
      <c r="I54" s="161">
        <v>52</v>
      </c>
      <c r="J54" s="511" t="s">
        <v>165</v>
      </c>
      <c r="K54" s="176" t="s">
        <v>122</v>
      </c>
      <c r="Q54" s="161">
        <v>52</v>
      </c>
      <c r="R54" s="164" t="str">
        <f>G50</f>
        <v>3</v>
      </c>
      <c r="S54" s="178" t="str">
        <f>F50</f>
        <v>3</v>
      </c>
      <c r="T54" s="512" t="s">
        <v>12</v>
      </c>
      <c r="U54" s="512">
        <f xml:space="preserve"> MATCH( "" &amp; 表格1_3374[[#This Row],[鍵盤位置]], $J$3:$J$57, 0)</f>
        <v>48</v>
      </c>
      <c r="V54" s="512" t="str" cm="1">
        <f t="array" ref="V54" xml:space="preserve"> INDEX($K$3:$K$57, 表格1_3374[[#This Row],[欄1]])</f>
        <v>˪</v>
      </c>
    </row>
    <row r="55" spans="5:26">
      <c r="E55" s="161">
        <v>53</v>
      </c>
      <c r="F55" s="206" t="s">
        <v>189</v>
      </c>
      <c r="G55" s="206" t="s">
        <v>188</v>
      </c>
      <c r="I55" s="161">
        <v>53</v>
      </c>
      <c r="J55" s="511" t="s">
        <v>188</v>
      </c>
      <c r="K55" s="176" t="s">
        <v>18</v>
      </c>
      <c r="Q55" s="161">
        <v>53</v>
      </c>
      <c r="R55" s="164" t="str">
        <f>G55</f>
        <v>6</v>
      </c>
      <c r="S55" s="178" t="str">
        <f>F55</f>
        <v>5</v>
      </c>
      <c r="T55" s="512" t="s">
        <v>18</v>
      </c>
      <c r="U55" s="512">
        <f xml:space="preserve"> MATCH( "" &amp; 表格1_3374[[#This Row],[鍵盤位置]], $J$3:$J$57, 0)</f>
        <v>53</v>
      </c>
      <c r="V55" s="512" t="str" cm="1">
        <f t="array" ref="V55" xml:space="preserve"> INDEX($K$3:$K$57, 表格1_3374[[#This Row],[欄1]])</f>
        <v>ˊ</v>
      </c>
    </row>
    <row r="56" spans="5:26">
      <c r="E56" s="161">
        <v>54</v>
      </c>
      <c r="F56" s="206" t="s">
        <v>190</v>
      </c>
      <c r="G56" s="206" t="s">
        <v>189</v>
      </c>
      <c r="I56" s="161">
        <v>54</v>
      </c>
      <c r="J56" s="511" t="s">
        <v>189</v>
      </c>
      <c r="K56" s="176" t="s">
        <v>16</v>
      </c>
      <c r="Q56" s="161">
        <v>54</v>
      </c>
      <c r="R56" s="164" t="str">
        <f>G56</f>
        <v>5</v>
      </c>
      <c r="S56" s="178" t="str">
        <f>F56</f>
        <v>7</v>
      </c>
      <c r="T56" s="512" t="s">
        <v>16</v>
      </c>
      <c r="U56" s="512">
        <f xml:space="preserve"> MATCH( "" &amp; 表格1_3374[[#This Row],[鍵盤位置]], $J$3:$J$57, 0)</f>
        <v>54</v>
      </c>
      <c r="V56" s="512" t="str" cm="1">
        <f t="array" ref="V56" xml:space="preserve"> INDEX($K$3:$K$57, 表格1_3374[[#This Row],[欄1]])</f>
        <v>˫</v>
      </c>
    </row>
    <row r="57" spans="5:26">
      <c r="E57" s="161">
        <v>55</v>
      </c>
      <c r="F57" s="206">
        <v>0</v>
      </c>
      <c r="G57" s="206" t="s">
        <v>190</v>
      </c>
      <c r="I57" s="161">
        <v>55</v>
      </c>
      <c r="J57" s="511" t="s">
        <v>190</v>
      </c>
      <c r="K57" s="176" t="s">
        <v>123</v>
      </c>
      <c r="Q57" s="161">
        <v>55</v>
      </c>
      <c r="R57" s="164" t="str">
        <f>G57</f>
        <v>7</v>
      </c>
      <c r="S57" s="178">
        <f>F57</f>
        <v>0</v>
      </c>
      <c r="T57" s="512" t="s">
        <v>123</v>
      </c>
      <c r="U57" s="512">
        <f xml:space="preserve"> MATCH( "" &amp; 表格1_3374[[#This Row],[鍵盤位置]], $J$3:$J$57, 0)</f>
        <v>55</v>
      </c>
      <c r="V57" s="512" t="str" cm="1">
        <f t="array" ref="V57" xml:space="preserve"> INDEX($K$3:$K$57, 表格1_3374[[#This Row],[欄1]])</f>
        <v>˙</v>
      </c>
    </row>
    <row r="58" spans="5:26">
      <c r="R58" s="164"/>
      <c r="S58" s="178"/>
      <c r="T58" s="164"/>
      <c r="U58" s="164"/>
      <c r="V58" s="164"/>
    </row>
    <row r="59" spans="5:26">
      <c r="E59" s="518" t="s">
        <v>673</v>
      </c>
      <c r="F59" s="522" t="str">
        <f xml:space="preserve"> _xlfn.CONCAT(鍵盤位置)</f>
        <v>1!qa2wsxeEdDcrRfvyYhn8*iIkoO9(lL,&lt;m0p;:/-uUjJbtgz 43657</v>
      </c>
      <c r="G59" s="519"/>
      <c r="H59" s="520"/>
      <c r="I59" s="520"/>
      <c r="J59" s="521"/>
      <c r="K59" s="519"/>
      <c r="L59" s="520"/>
      <c r="M59" s="520"/>
      <c r="N59" s="520"/>
      <c r="O59" s="228"/>
      <c r="P59" s="520"/>
      <c r="R59" s="164"/>
      <c r="S59" s="178"/>
      <c r="T59" s="164"/>
      <c r="U59" s="164"/>
      <c r="V59" s="164"/>
    </row>
    <row r="60" spans="5:26">
      <c r="R60" s="164"/>
      <c r="S60" s="178"/>
      <c r="T60" s="164"/>
      <c r="U60" s="164"/>
      <c r="V60" s="164"/>
    </row>
    <row r="61" spans="5:26">
      <c r="R61" s="164"/>
      <c r="S61" s="178"/>
      <c r="T61" s="164"/>
      <c r="U61" s="164"/>
      <c r="V61" s="164"/>
    </row>
    <row r="62" spans="5:26">
      <c r="R62" s="164"/>
      <c r="S62" s="178"/>
      <c r="T62" s="164"/>
      <c r="U62" s="164"/>
      <c r="V62" s="164"/>
    </row>
    <row r="63" spans="5:26">
      <c r="R63" s="164"/>
      <c r="S63" s="178"/>
      <c r="T63" s="164"/>
      <c r="U63" s="164"/>
      <c r="V63" s="164"/>
    </row>
    <row r="64" spans="5:26">
      <c r="R64" s="164"/>
      <c r="S64" s="178"/>
      <c r="T64" s="164"/>
      <c r="U64" s="164"/>
      <c r="V64" s="164"/>
    </row>
    <row r="65" spans="18:22">
      <c r="R65" s="164"/>
      <c r="S65" s="178"/>
      <c r="T65" s="164"/>
      <c r="U65" s="164"/>
      <c r="V65" s="164"/>
    </row>
    <row r="66" spans="18:22">
      <c r="R66" s="164"/>
      <c r="S66" s="178"/>
      <c r="T66" s="164"/>
      <c r="U66" s="164"/>
      <c r="V66" s="164"/>
    </row>
    <row r="67" spans="18:22">
      <c r="R67" s="164"/>
      <c r="S67" s="178"/>
      <c r="T67" s="164"/>
      <c r="U67" s="164"/>
      <c r="V67" s="164"/>
    </row>
    <row r="68" spans="18:22">
      <c r="R68" s="164"/>
      <c r="S68" s="178"/>
      <c r="T68" s="164"/>
      <c r="U68" s="164"/>
      <c r="V68" s="164"/>
    </row>
    <row r="69" spans="18:22">
      <c r="R69" s="164"/>
      <c r="S69" s="178"/>
      <c r="T69" s="164"/>
      <c r="U69" s="164"/>
      <c r="V69" s="164"/>
    </row>
    <row r="70" spans="18:22">
      <c r="R70" s="164"/>
      <c r="S70" s="178"/>
      <c r="T70" s="164"/>
      <c r="U70" s="164"/>
      <c r="V70" s="164"/>
    </row>
    <row r="72" spans="18:22">
      <c r="S72" s="161" t="str">
        <f xml:space="preserve"> _xlfn.CONCAT(按鍵編碼)</f>
        <v>pbPmtTnlkgKGhZJCSzjcsaAOQoeEyYxX{}M@N[]RriIuU9&gt;&lt;4123570</v>
      </c>
    </row>
    <row r="73" spans="18:22">
      <c r="S73" s="161" t="str">
        <f xml:space="preserve"> _xlfn.CONCAT(方音符號)</f>
        <v>ㄅㆠㄆㄇㄉㄊㄋㄌㄍㆣㄎㄫㄏㄐㆢㄑㄒㄗㆡㄘㄙㄚㆩㆦㆧㄜㆤㆤㄞㆮㄠㆯㆰㆱㆬㄢㄣㄤㆲㄥㆭㄧㄧㄨㆫㆴㆵㆻㆷ ˋ˪ˊ˫˙</v>
      </c>
    </row>
    <row r="74" spans="18:22">
      <c r="S74" s="227" t="str">
        <f xml:space="preserve"> "xlit|" &amp; S72 &amp; "|" &amp; S73 &amp; "|"</f>
        <v>xlit|pbPmtTnlkgKGhZJCSzjcsaAOQoeEyYxX{}M@N[]RriIuU9&gt;&lt;4123570|ㄅㆠㄆㄇㄉㄊㄋㄌㄍㆣㄎㄫㄏㄐㆢㄑㄒㄗㆡㄘㄙㄚㆩㆦㆧㄜㆤㆤㄞㆮㄠㆯㆰㆱㆬㄢㄣㄤㆲㄥㆭㄧㄧㄨㆫㆴㆵㆻㆷ ˋ˪ˊ˫˙|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</sheetViews>
  <sheetFormatPr defaultColWidth="11.8984375" defaultRowHeight="14.25"/>
  <cols>
    <col min="1" max="1" width="1.8984375" style="123" customWidth="1"/>
    <col min="2" max="2" width="18.69921875" style="123" customWidth="1"/>
    <col min="3" max="37" width="4.3984375" style="123" customWidth="1"/>
    <col min="38" max="42" width="3.69921875" style="123" customWidth="1"/>
    <col min="43" max="43" width="38.69921875" style="123" customWidth="1"/>
    <col min="44" max="16384" width="11.8984375" style="123"/>
  </cols>
  <sheetData>
    <row r="1" spans="2:44" ht="15" thickBot="1"/>
    <row r="2" spans="2:44" s="136" customFormat="1" ht="18" customHeight="1">
      <c r="C2" s="635">
        <v>1</v>
      </c>
      <c r="D2" s="636"/>
      <c r="E2" s="637"/>
      <c r="F2" s="635">
        <v>2</v>
      </c>
      <c r="G2" s="636"/>
      <c r="H2" s="637"/>
      <c r="I2" s="625">
        <v>3</v>
      </c>
      <c r="J2" s="626"/>
      <c r="K2" s="627"/>
      <c r="L2" s="625">
        <v>4</v>
      </c>
      <c r="M2" s="626"/>
      <c r="N2" s="627"/>
      <c r="O2" s="625">
        <v>5</v>
      </c>
      <c r="P2" s="626"/>
      <c r="Q2" s="627"/>
      <c r="R2" s="625">
        <v>6</v>
      </c>
      <c r="S2" s="626"/>
      <c r="T2" s="627"/>
      <c r="U2" s="625">
        <v>7</v>
      </c>
      <c r="V2" s="626"/>
      <c r="W2" s="627"/>
      <c r="X2" s="616">
        <v>8</v>
      </c>
      <c r="Y2" s="611"/>
      <c r="Z2" s="612"/>
      <c r="AA2" s="616">
        <v>9</v>
      </c>
      <c r="AB2" s="611"/>
      <c r="AC2" s="612"/>
      <c r="AD2" s="616">
        <v>0</v>
      </c>
      <c r="AE2" s="611"/>
      <c r="AF2" s="612"/>
      <c r="AG2" s="610" t="s">
        <v>354</v>
      </c>
      <c r="AH2" s="611"/>
      <c r="AI2" s="612"/>
      <c r="AJ2" s="123"/>
      <c r="AK2" s="123"/>
      <c r="AL2" s="123"/>
      <c r="AR2" s="139" t="s">
        <v>353</v>
      </c>
    </row>
    <row r="3" spans="2:44" ht="30" customHeight="1" thickBot="1">
      <c r="C3" s="632" t="str">
        <f>D14</f>
        <v>ㄅ</v>
      </c>
      <c r="D3" s="633"/>
      <c r="E3" s="634"/>
      <c r="F3" s="632" t="str">
        <f>H14</f>
        <v>ㄉ</v>
      </c>
      <c r="G3" s="633"/>
      <c r="H3" s="634"/>
      <c r="I3" s="629" t="s">
        <v>352</v>
      </c>
      <c r="J3" s="630"/>
      <c r="K3" s="631"/>
      <c r="L3" s="629" t="s">
        <v>351</v>
      </c>
      <c r="M3" s="630"/>
      <c r="N3" s="631"/>
      <c r="O3" s="629"/>
      <c r="P3" s="630"/>
      <c r="Q3" s="631"/>
      <c r="R3" s="638" t="s">
        <v>350</v>
      </c>
      <c r="S3" s="639"/>
      <c r="T3" s="640"/>
      <c r="U3" s="629" t="s">
        <v>349</v>
      </c>
      <c r="V3" s="630"/>
      <c r="W3" s="631"/>
      <c r="X3" s="617" t="str">
        <f>D20</f>
        <v>ㄚ</v>
      </c>
      <c r="Y3" s="618"/>
      <c r="Z3" s="619"/>
      <c r="AA3" s="617"/>
      <c r="AB3" s="618"/>
      <c r="AC3" s="619"/>
      <c r="AD3" s="617"/>
      <c r="AE3" s="618"/>
      <c r="AF3" s="619"/>
      <c r="AG3" s="613"/>
      <c r="AH3" s="614"/>
      <c r="AI3" s="615"/>
      <c r="AQ3" s="137" t="s">
        <v>348</v>
      </c>
      <c r="AR3" s="123" t="s">
        <v>329</v>
      </c>
    </row>
    <row r="4" spans="2:44" s="136" customFormat="1" ht="18" customHeight="1">
      <c r="D4" s="635" t="s">
        <v>347</v>
      </c>
      <c r="E4" s="636"/>
      <c r="F4" s="637"/>
      <c r="G4" s="635" t="s">
        <v>282</v>
      </c>
      <c r="H4" s="636"/>
      <c r="I4" s="637"/>
      <c r="J4" s="635" t="s">
        <v>346</v>
      </c>
      <c r="K4" s="636"/>
      <c r="L4" s="637"/>
      <c r="M4" s="635" t="s">
        <v>345</v>
      </c>
      <c r="N4" s="636"/>
      <c r="O4" s="637"/>
      <c r="P4" s="635" t="s">
        <v>344</v>
      </c>
      <c r="Q4" s="636"/>
      <c r="R4" s="637"/>
      <c r="S4" s="635" t="s">
        <v>343</v>
      </c>
      <c r="T4" s="636"/>
      <c r="U4" s="637"/>
      <c r="V4" s="616" t="s">
        <v>342</v>
      </c>
      <c r="W4" s="611"/>
      <c r="X4" s="612"/>
      <c r="Y4" s="616" t="s">
        <v>341</v>
      </c>
      <c r="Z4" s="611"/>
      <c r="AA4" s="612"/>
      <c r="AB4" s="616" t="s">
        <v>338</v>
      </c>
      <c r="AC4" s="611"/>
      <c r="AD4" s="612"/>
      <c r="AE4" s="616" t="s">
        <v>340</v>
      </c>
      <c r="AF4" s="611"/>
      <c r="AG4" s="612"/>
      <c r="AJ4" s="123"/>
      <c r="AK4" s="123"/>
      <c r="AL4" s="123"/>
    </row>
    <row r="5" spans="2:44" ht="30" customHeight="1" thickBot="1">
      <c r="D5" s="632" t="str">
        <f>E14</f>
        <v>ㄆ</v>
      </c>
      <c r="E5" s="633"/>
      <c r="F5" s="634"/>
      <c r="G5" s="632" t="str">
        <f>I14</f>
        <v>ㄊ</v>
      </c>
      <c r="H5" s="633"/>
      <c r="I5" s="634"/>
      <c r="J5" s="632" t="str">
        <f>L14</f>
        <v>ㄍ</v>
      </c>
      <c r="K5" s="633"/>
      <c r="L5" s="634"/>
      <c r="M5" s="632"/>
      <c r="N5" s="633"/>
      <c r="O5" s="634"/>
      <c r="P5" s="641" t="str">
        <f>F14</f>
        <v>ㆠ</v>
      </c>
      <c r="Q5" s="642"/>
      <c r="R5" s="643"/>
      <c r="S5" s="632" t="str">
        <f>Q14</f>
        <v>ㄗ</v>
      </c>
      <c r="T5" s="633"/>
      <c r="U5" s="634"/>
      <c r="V5" s="617" t="str">
        <f>F20</f>
        <v>ㄧ</v>
      </c>
      <c r="W5" s="618"/>
      <c r="X5" s="619"/>
      <c r="Y5" s="617" t="str">
        <f>L20</f>
        <v>ㆦ</v>
      </c>
      <c r="Z5" s="618"/>
      <c r="AA5" s="619"/>
      <c r="AB5" s="617"/>
      <c r="AC5" s="618"/>
      <c r="AD5" s="619"/>
      <c r="AE5" s="622" t="str">
        <f>P20</f>
        <v>ㄣ</v>
      </c>
      <c r="AF5" s="623"/>
      <c r="AG5" s="624"/>
      <c r="AQ5" s="137" t="s">
        <v>339</v>
      </c>
      <c r="AR5" s="123" t="s">
        <v>338</v>
      </c>
    </row>
    <row r="6" spans="2:44" s="136" customFormat="1" ht="18" customHeight="1">
      <c r="D6" s="138"/>
      <c r="E6" s="635" t="s">
        <v>337</v>
      </c>
      <c r="F6" s="636"/>
      <c r="G6" s="637"/>
      <c r="H6" s="635" t="s">
        <v>336</v>
      </c>
      <c r="I6" s="636"/>
      <c r="J6" s="637"/>
      <c r="K6" s="635" t="s">
        <v>335</v>
      </c>
      <c r="L6" s="636"/>
      <c r="M6" s="637"/>
      <c r="N6" s="635" t="s">
        <v>334</v>
      </c>
      <c r="O6" s="636"/>
      <c r="P6" s="637"/>
      <c r="Q6" s="635" t="s">
        <v>333</v>
      </c>
      <c r="R6" s="636"/>
      <c r="S6" s="637"/>
      <c r="T6" s="635" t="s">
        <v>332</v>
      </c>
      <c r="U6" s="636"/>
      <c r="V6" s="637"/>
      <c r="W6" s="616" t="s">
        <v>331</v>
      </c>
      <c r="X6" s="611"/>
      <c r="Y6" s="612"/>
      <c r="Z6" s="616" t="s">
        <v>330</v>
      </c>
      <c r="AA6" s="611"/>
      <c r="AB6" s="612"/>
      <c r="AC6" s="616" t="s">
        <v>329</v>
      </c>
      <c r="AD6" s="611"/>
      <c r="AE6" s="612"/>
      <c r="AF6" s="616" t="s">
        <v>328</v>
      </c>
      <c r="AG6" s="611"/>
      <c r="AH6" s="612"/>
    </row>
    <row r="7" spans="2:44" ht="30" customHeight="1" thickBot="1">
      <c r="E7" s="644" t="str">
        <f>G14</f>
        <v>ㄇ</v>
      </c>
      <c r="F7" s="645"/>
      <c r="G7" s="646"/>
      <c r="H7" s="632" t="str">
        <f>J14</f>
        <v>ㄋ</v>
      </c>
      <c r="I7" s="633"/>
      <c r="J7" s="634"/>
      <c r="K7" s="632" t="str">
        <f>M14</f>
        <v>ㄎ</v>
      </c>
      <c r="L7" s="633"/>
      <c r="M7" s="634"/>
      <c r="N7" s="632"/>
      <c r="O7" s="633"/>
      <c r="P7" s="634"/>
      <c r="Q7" s="647" t="str">
        <f>N14</f>
        <v>ㆣ</v>
      </c>
      <c r="R7" s="642"/>
      <c r="S7" s="643"/>
      <c r="T7" s="632" t="str">
        <f>R14</f>
        <v>ㄘ</v>
      </c>
      <c r="U7" s="633"/>
      <c r="V7" s="634"/>
      <c r="W7" s="617" t="str">
        <f>H20</f>
        <v>ㄨ</v>
      </c>
      <c r="X7" s="618"/>
      <c r="Y7" s="619"/>
      <c r="Z7" s="617" t="str">
        <f>N20</f>
        <v>ㄜ</v>
      </c>
      <c r="AA7" s="618"/>
      <c r="AB7" s="619"/>
      <c r="AC7" s="617"/>
      <c r="AD7" s="618"/>
      <c r="AE7" s="619"/>
      <c r="AF7" s="621"/>
      <c r="AG7" s="618"/>
      <c r="AH7" s="619"/>
      <c r="AQ7" s="137" t="s">
        <v>327</v>
      </c>
      <c r="AR7" s="123" t="s">
        <v>326</v>
      </c>
    </row>
    <row r="8" spans="2:44" s="136" customFormat="1" ht="18" customHeight="1">
      <c r="F8" s="635" t="s">
        <v>325</v>
      </c>
      <c r="G8" s="636"/>
      <c r="H8" s="637"/>
      <c r="I8" s="635" t="s">
        <v>324</v>
      </c>
      <c r="J8" s="636"/>
      <c r="K8" s="637"/>
      <c r="L8" s="635" t="s">
        <v>323</v>
      </c>
      <c r="M8" s="636"/>
      <c r="N8" s="637"/>
      <c r="O8" s="635" t="s">
        <v>322</v>
      </c>
      <c r="P8" s="636"/>
      <c r="Q8" s="637"/>
      <c r="R8" s="635" t="s">
        <v>321</v>
      </c>
      <c r="S8" s="636"/>
      <c r="T8" s="637"/>
      <c r="U8" s="635" t="s">
        <v>280</v>
      </c>
      <c r="V8" s="636"/>
      <c r="W8" s="637"/>
      <c r="X8" s="616" t="s">
        <v>320</v>
      </c>
      <c r="Y8" s="611"/>
      <c r="Z8" s="612"/>
      <c r="AA8" s="616" t="s">
        <v>319</v>
      </c>
      <c r="AB8" s="611"/>
      <c r="AC8" s="612"/>
      <c r="AD8" s="616" t="s">
        <v>318</v>
      </c>
      <c r="AE8" s="611"/>
      <c r="AF8" s="612"/>
      <c r="AG8" s="620" t="s">
        <v>317</v>
      </c>
      <c r="AH8" s="611"/>
      <c r="AI8" s="612"/>
    </row>
    <row r="9" spans="2:44" ht="30" customHeight="1" thickBot="1">
      <c r="F9" s="632"/>
      <c r="G9" s="648"/>
      <c r="H9" s="649"/>
      <c r="I9" s="632" t="str">
        <f>K14</f>
        <v>ㄌ</v>
      </c>
      <c r="J9" s="633"/>
      <c r="K9" s="634"/>
      <c r="L9" s="632" t="str">
        <f>P14</f>
        <v>ㄏ</v>
      </c>
      <c r="M9" s="633"/>
      <c r="N9" s="634"/>
      <c r="O9" s="644" t="str">
        <f>O14</f>
        <v>ㄫ</v>
      </c>
      <c r="P9" s="645"/>
      <c r="Q9" s="646"/>
      <c r="R9" s="641" t="str">
        <f>S14</f>
        <v>ㆡ</v>
      </c>
      <c r="S9" s="642"/>
      <c r="T9" s="643"/>
      <c r="U9" s="632" t="str">
        <f>T14</f>
        <v>ㄙ</v>
      </c>
      <c r="V9" s="633"/>
      <c r="W9" s="634"/>
      <c r="X9" s="622" t="str">
        <f>O20</f>
        <v>ㆬ</v>
      </c>
      <c r="Y9" s="623"/>
      <c r="Z9" s="624"/>
      <c r="AA9" s="617" t="str">
        <f>J20</f>
        <v>ㄝ</v>
      </c>
      <c r="AB9" s="618"/>
      <c r="AC9" s="619"/>
      <c r="AD9" s="628" t="str">
        <f>Q20</f>
        <v>ㄥ</v>
      </c>
      <c r="AE9" s="623"/>
      <c r="AF9" s="624"/>
      <c r="AG9" s="617"/>
      <c r="AH9" s="618"/>
      <c r="AI9" s="619"/>
    </row>
    <row r="12" spans="2:44">
      <c r="Z12" s="136"/>
    </row>
    <row r="13" spans="2:44">
      <c r="D13" s="123" t="s">
        <v>316</v>
      </c>
    </row>
    <row r="14" spans="2:44" ht="16.5">
      <c r="B14" s="127" t="s">
        <v>292</v>
      </c>
      <c r="D14" s="123" t="s">
        <v>8</v>
      </c>
      <c r="E14" s="123" t="s">
        <v>37</v>
      </c>
      <c r="F14" s="123" t="s">
        <v>90</v>
      </c>
      <c r="G14" s="123" t="s">
        <v>55</v>
      </c>
      <c r="H14" s="123" t="s">
        <v>10</v>
      </c>
      <c r="I14" s="123" t="s">
        <v>39</v>
      </c>
      <c r="J14" s="123" t="s">
        <v>67</v>
      </c>
      <c r="K14" s="123" t="s">
        <v>92</v>
      </c>
      <c r="L14" s="123" t="s">
        <v>41</v>
      </c>
      <c r="M14" s="123" t="s">
        <v>69</v>
      </c>
      <c r="N14" s="123" t="s">
        <v>44</v>
      </c>
      <c r="O14" s="123" t="s">
        <v>72</v>
      </c>
      <c r="P14" s="123" t="s">
        <v>94</v>
      </c>
      <c r="Q14" s="123" t="s">
        <v>46</v>
      </c>
      <c r="R14" s="123" t="s">
        <v>74</v>
      </c>
      <c r="S14" s="123" t="s">
        <v>106</v>
      </c>
      <c r="T14" s="123" t="s">
        <v>98</v>
      </c>
    </row>
    <row r="15" spans="2:44" ht="19.5">
      <c r="B15" s="127" t="s">
        <v>290</v>
      </c>
      <c r="D15" s="135" t="s">
        <v>9</v>
      </c>
      <c r="E15" s="135" t="s">
        <v>38</v>
      </c>
      <c r="F15" s="135" t="s">
        <v>91</v>
      </c>
      <c r="G15" s="135" t="s">
        <v>66</v>
      </c>
      <c r="H15" s="135" t="s">
        <v>11</v>
      </c>
      <c r="I15" s="135" t="s">
        <v>40</v>
      </c>
      <c r="J15" s="135" t="s">
        <v>68</v>
      </c>
      <c r="K15" s="135" t="s">
        <v>93</v>
      </c>
      <c r="L15" s="135" t="s">
        <v>42</v>
      </c>
      <c r="M15" s="135" t="s">
        <v>70</v>
      </c>
      <c r="N15" s="135" t="s">
        <v>45</v>
      </c>
      <c r="O15" s="135" t="s">
        <v>73</v>
      </c>
      <c r="P15" s="135" t="s">
        <v>95</v>
      </c>
      <c r="Q15" s="135" t="s">
        <v>47</v>
      </c>
      <c r="R15" s="135" t="s">
        <v>75</v>
      </c>
      <c r="S15" s="135" t="s">
        <v>211</v>
      </c>
      <c r="T15" s="135" t="s">
        <v>99</v>
      </c>
      <c r="U15" s="130"/>
    </row>
    <row r="16" spans="2:44" ht="19.5">
      <c r="B16" s="127" t="s">
        <v>289</v>
      </c>
      <c r="D16" s="131" t="s">
        <v>9</v>
      </c>
      <c r="E16" s="131" t="s">
        <v>33</v>
      </c>
      <c r="F16" s="132" t="s">
        <v>315</v>
      </c>
      <c r="G16" s="134" t="s">
        <v>314</v>
      </c>
      <c r="H16" s="131" t="s">
        <v>11</v>
      </c>
      <c r="I16" s="131" t="s">
        <v>28</v>
      </c>
      <c r="J16" s="132" t="s">
        <v>313</v>
      </c>
      <c r="K16" s="132" t="s">
        <v>312</v>
      </c>
      <c r="L16" s="131" t="s">
        <v>42</v>
      </c>
      <c r="M16" s="131" t="s">
        <v>62</v>
      </c>
      <c r="N16" s="131" t="s">
        <v>45</v>
      </c>
      <c r="O16" s="133" t="s">
        <v>280</v>
      </c>
      <c r="P16" s="131" t="s">
        <v>95</v>
      </c>
      <c r="Q16" s="131" t="s">
        <v>166</v>
      </c>
      <c r="R16" s="131" t="s">
        <v>83</v>
      </c>
      <c r="S16" s="132" t="s">
        <v>311</v>
      </c>
      <c r="T16" s="131" t="s">
        <v>99</v>
      </c>
      <c r="U16" s="130"/>
    </row>
    <row r="17" spans="2:20" ht="16.5">
      <c r="B17" s="127" t="s">
        <v>279</v>
      </c>
      <c r="D17" s="129" t="s">
        <v>310</v>
      </c>
      <c r="E17" s="129" t="s">
        <v>309</v>
      </c>
      <c r="F17" s="129" t="s">
        <v>308</v>
      </c>
      <c r="G17" s="129" t="s">
        <v>307</v>
      </c>
      <c r="H17" s="129" t="s">
        <v>306</v>
      </c>
      <c r="I17" s="129" t="s">
        <v>305</v>
      </c>
      <c r="J17" s="129" t="s">
        <v>304</v>
      </c>
      <c r="K17" s="129" t="s">
        <v>303</v>
      </c>
      <c r="L17" s="129" t="s">
        <v>302</v>
      </c>
      <c r="M17" s="129" t="s">
        <v>301</v>
      </c>
      <c r="N17" s="129" t="s">
        <v>300</v>
      </c>
      <c r="O17" s="129" t="s">
        <v>299</v>
      </c>
      <c r="P17" s="129" t="s">
        <v>298</v>
      </c>
      <c r="Q17" s="129" t="s">
        <v>297</v>
      </c>
      <c r="R17" s="129" t="s">
        <v>296</v>
      </c>
      <c r="S17" s="129" t="s">
        <v>295</v>
      </c>
      <c r="T17" s="129" t="s">
        <v>294</v>
      </c>
    </row>
    <row r="19" spans="2:20">
      <c r="D19" s="123" t="s">
        <v>293</v>
      </c>
    </row>
    <row r="20" spans="2:20" ht="16.5">
      <c r="B20" s="127" t="s">
        <v>292</v>
      </c>
      <c r="D20" s="123" t="s">
        <v>20</v>
      </c>
      <c r="E20" s="123" t="s">
        <v>107</v>
      </c>
      <c r="F20" s="123" t="s">
        <v>48</v>
      </c>
      <c r="G20" s="123" t="s">
        <v>116</v>
      </c>
      <c r="H20" s="123" t="s">
        <v>76</v>
      </c>
      <c r="I20" s="123" t="s">
        <v>117</v>
      </c>
      <c r="J20" s="128" t="s">
        <v>291</v>
      </c>
      <c r="K20" s="123" t="s">
        <v>110</v>
      </c>
      <c r="L20" s="123" t="s">
        <v>50</v>
      </c>
      <c r="M20" s="123" t="s">
        <v>108</v>
      </c>
      <c r="N20" s="123" t="s">
        <v>78</v>
      </c>
      <c r="O20" s="123" t="s">
        <v>100</v>
      </c>
      <c r="P20" s="123" t="s">
        <v>54</v>
      </c>
      <c r="Q20" s="123" t="s">
        <v>115</v>
      </c>
    </row>
    <row r="21" spans="2:20" ht="16.5">
      <c r="B21" s="127" t="s">
        <v>290</v>
      </c>
      <c r="D21" s="126" t="s">
        <v>21</v>
      </c>
      <c r="E21" s="126" t="s">
        <v>212</v>
      </c>
      <c r="F21" s="126" t="s">
        <v>49</v>
      </c>
      <c r="G21" s="126" t="s">
        <v>215</v>
      </c>
      <c r="H21" s="126" t="s">
        <v>77</v>
      </c>
      <c r="I21" s="126" t="s">
        <v>216</v>
      </c>
      <c r="J21" s="126" t="s">
        <v>53</v>
      </c>
      <c r="K21" s="126" t="s">
        <v>214</v>
      </c>
      <c r="L21" s="126" t="s">
        <v>51</v>
      </c>
      <c r="M21" s="126" t="s">
        <v>213</v>
      </c>
      <c r="N21" s="126" t="s">
        <v>79</v>
      </c>
      <c r="O21" s="126" t="s">
        <v>66</v>
      </c>
      <c r="P21" s="126" t="s">
        <v>232</v>
      </c>
      <c r="Q21" s="126" t="s">
        <v>217</v>
      </c>
    </row>
    <row r="22" spans="2:20" ht="16.5">
      <c r="B22" s="127" t="s">
        <v>289</v>
      </c>
      <c r="D22" s="125" t="s">
        <v>21</v>
      </c>
      <c r="E22" s="125" t="s">
        <v>288</v>
      </c>
      <c r="F22" s="125" t="s">
        <v>49</v>
      </c>
      <c r="G22" s="125" t="s">
        <v>287</v>
      </c>
      <c r="H22" s="125" t="s">
        <v>77</v>
      </c>
      <c r="I22" s="125" t="s">
        <v>286</v>
      </c>
      <c r="J22" s="125" t="s">
        <v>53</v>
      </c>
      <c r="K22" s="125" t="s">
        <v>285</v>
      </c>
      <c r="L22" s="125" t="s">
        <v>79</v>
      </c>
      <c r="M22" s="125" t="s">
        <v>284</v>
      </c>
      <c r="N22" s="125" t="s">
        <v>283</v>
      </c>
      <c r="O22" s="125" t="s">
        <v>282</v>
      </c>
      <c r="P22" s="125" t="s">
        <v>281</v>
      </c>
      <c r="Q22" s="125" t="s">
        <v>280</v>
      </c>
    </row>
    <row r="23" spans="2:20" ht="16.5">
      <c r="B23" s="127" t="s">
        <v>279</v>
      </c>
      <c r="D23" s="124" t="s">
        <v>278</v>
      </c>
      <c r="E23" s="124" t="s">
        <v>277</v>
      </c>
      <c r="F23" s="124" t="s">
        <v>276</v>
      </c>
      <c r="G23" s="124" t="s">
        <v>275</v>
      </c>
      <c r="H23" s="124" t="s">
        <v>274</v>
      </c>
      <c r="I23" s="124" t="s">
        <v>273</v>
      </c>
      <c r="J23" s="124" t="s">
        <v>265</v>
      </c>
      <c r="K23" s="124" t="s">
        <v>272</v>
      </c>
      <c r="L23" s="124" t="s">
        <v>271</v>
      </c>
      <c r="M23" s="124" t="s">
        <v>270</v>
      </c>
      <c r="N23" s="124" t="s">
        <v>269</v>
      </c>
      <c r="O23" s="124" t="s">
        <v>268</v>
      </c>
      <c r="P23" s="124" t="s">
        <v>267</v>
      </c>
      <c r="Q23" s="124" t="s">
        <v>266</v>
      </c>
    </row>
    <row r="25" spans="2:20">
      <c r="J25" s="123" t="s">
        <v>52</v>
      </c>
    </row>
    <row r="26" spans="2:20" ht="15">
      <c r="J26" s="126" t="s">
        <v>53</v>
      </c>
    </row>
    <row r="27" spans="2:20" ht="16.5">
      <c r="J27" s="125" t="s">
        <v>53</v>
      </c>
    </row>
    <row r="28" spans="2:20">
      <c r="J28" s="124" t="s">
        <v>265</v>
      </c>
    </row>
  </sheetData>
  <mergeCells count="82"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D5:F5"/>
    <mergeCell ref="G5:I5"/>
    <mergeCell ref="J5:L5"/>
    <mergeCell ref="M5:O5"/>
    <mergeCell ref="P5:R5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C2:E2"/>
    <mergeCell ref="F2:H2"/>
    <mergeCell ref="I2:K2"/>
    <mergeCell ref="L2:N2"/>
    <mergeCell ref="O2:Q2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</mergeCells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具名範圍</vt:lpstr>
      </vt:variant>
      <vt:variant>
        <vt:i4>31</vt:i4>
      </vt:variant>
    </vt:vector>
  </HeadingPairs>
  <TitlesOfParts>
    <vt:vector size="48" baseType="lpstr">
      <vt:lpstr>RIME對映編碼 (Schema解析)</vt:lpstr>
      <vt:lpstr> 河洛方音鍵盤設計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RIME指令 (與漢字拼音相容版)</vt:lpstr>
      <vt:lpstr>工作表2</vt:lpstr>
      <vt:lpstr> 河洛方音鍵盤設計 (V1)</vt:lpstr>
      <vt:lpstr>RIME對映編碼</vt:lpstr>
      <vt:lpstr>RIME對映編碼 (河洛方音)</vt:lpstr>
      <vt:lpstr>鍵盤圖</vt:lpstr>
      <vt:lpstr>'RIME解析(BoPoMoFo)'!方音符號</vt:lpstr>
      <vt:lpstr>'RIME對映編碼 (台語方音)'!方音符號</vt:lpstr>
      <vt:lpstr>'RIME對映編碼 (台語方音V3)'!方音符號</vt:lpstr>
      <vt:lpstr>'RIME對映編碼 (河洛方音)'!方音符號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(Schema解析)'!按鍵編碼</vt:lpstr>
      <vt:lpstr>'RIME對映編碼 (台語方音)'!按鍵編碼</vt:lpstr>
      <vt:lpstr>'RIME對映編碼 (台語方音V3)'!按鍵編碼</vt:lpstr>
      <vt:lpstr>'RIME對映編碼 (河洛方音)'!按鍵編碼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(Schema解析)'!鍵盤位置</vt:lpstr>
      <vt:lpstr>'RIME對映編碼 (台語方音)'!鍵盤位置</vt:lpstr>
      <vt:lpstr>'RIME對映編碼 (台語方音V3)'!鍵盤位置</vt:lpstr>
      <vt:lpstr>'RIME對映編碼 (河洛方音)'!鍵盤位置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2024-07-05T06:07:44Z</dcterms:modified>
</cp:coreProperties>
</file>